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9720" windowHeight="6090" activeTab="0"/>
  </bookViews>
  <sheets>
    <sheet name="SPIT 2023" sheetId="1" r:id="rId1"/>
  </sheets>
  <definedNames/>
  <calcPr fullCalcOnLoad="1"/>
</workbook>
</file>

<file path=xl/sharedStrings.xml><?xml version="1.0" encoding="utf-8"?>
<sst xmlns="http://schemas.openxmlformats.org/spreadsheetml/2006/main" count="283" uniqueCount="38">
  <si>
    <t>octombrie</t>
  </si>
  <si>
    <t>noiembrie</t>
  </si>
  <si>
    <t>decembrie</t>
  </si>
  <si>
    <t>iulie</t>
  </si>
  <si>
    <t>august</t>
  </si>
  <si>
    <t>ianuarie</t>
  </si>
  <si>
    <t>februarie</t>
  </si>
  <si>
    <t>martie</t>
  </si>
  <si>
    <t>aprilie</t>
  </si>
  <si>
    <t>mai</t>
  </si>
  <si>
    <t>iunie</t>
  </si>
  <si>
    <t>septembrie</t>
  </si>
  <si>
    <t xml:space="preserve"> </t>
  </si>
  <si>
    <t>luna</t>
  </si>
  <si>
    <t>tr.I</t>
  </si>
  <si>
    <t>sem.I</t>
  </si>
  <si>
    <t>tr.II</t>
  </si>
  <si>
    <t>9 luni</t>
  </si>
  <si>
    <t>sem.II</t>
  </si>
  <si>
    <t>tr.III</t>
  </si>
  <si>
    <t>tr.IV</t>
  </si>
  <si>
    <t xml:space="preserve">TOTAL </t>
  </si>
  <si>
    <t>SPITALIZARE DE ZI</t>
  </si>
  <si>
    <t>TOTAL SPITALE</t>
  </si>
  <si>
    <t>regulariz.</t>
  </si>
  <si>
    <t>DECONTAT  DRG</t>
  </si>
  <si>
    <t>DECONTAT TOTAL</t>
  </si>
  <si>
    <t>DECONTAT CRONICI</t>
  </si>
  <si>
    <t>DECONTAT SPITALIZARE DE ZI</t>
  </si>
  <si>
    <t>DECONTAT PALEATIVE</t>
  </si>
  <si>
    <t>SPITALUL JUDETEAN DE URGENTA CALARASI</t>
  </si>
  <si>
    <t>SPITALUL MUNICIPAL  OLTENITA</t>
  </si>
  <si>
    <t>SPITALUL ORASENESC  LEHLIU</t>
  </si>
  <si>
    <t>SPITALUL DE PSIHIATRIE  SAPUNARI</t>
  </si>
  <si>
    <t>SPITALUL DE PNEUMOFTIZIOLOGIE CALARASI</t>
  </si>
  <si>
    <t>SC ALPHA MEDICAL INVEST SRL</t>
  </si>
  <si>
    <t>SC BROTAC MEDICAL CENTER SRL</t>
  </si>
  <si>
    <t>SC ALPHA CLINIC CALARASI SRL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</si>
</sst>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"/>
    <numFmt numFmtId="175" formatCode="00000"/>
    <numFmt numFmtId="176" formatCode="0.0000"/>
    <numFmt numFmtId="177" formatCode="#,##0.00000000"/>
    <numFmt numFmtId="178" formatCode="#,##0.000000"/>
    <numFmt numFmtId="179" formatCode="#,##0.00000"/>
    <numFmt numFmtId="180" formatCode="[$-418]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  <numFmt numFmtId="186" formatCode="[$-418]dddd\,\ d\ mmmm\ yyyy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39"/>
      <name val="Arial"/>
      <family val="2"/>
    </font>
    <font>
      <b/>
      <sz val="10"/>
      <color indexed="3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2" borderId="1" applyNumberFormat="0" applyAlignment="0" applyProtection="0"/>
    <xf numFmtId="0" fontId="12" fillId="15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0" fillId="2" borderId="1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4" fontId="0" fillId="2" borderId="11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4" fontId="6" fillId="2" borderId="11" xfId="0" applyNumberFormat="1" applyFont="1" applyFill="1" applyBorder="1" applyAlignment="1">
      <alignment/>
    </xf>
    <xf numFmtId="4" fontId="0" fillId="2" borderId="1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2" borderId="16" xfId="0" applyFont="1" applyFill="1" applyBorder="1" applyAlignment="1">
      <alignment wrapText="1"/>
    </xf>
    <xf numFmtId="0" fontId="0" fillId="0" borderId="11" xfId="0" applyBorder="1" applyAlignment="1">
      <alignment wrapText="1"/>
    </xf>
    <xf numFmtId="4" fontId="7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ont="1" applyFill="1" applyBorder="1" applyAlignment="1">
      <alignment wrapText="1"/>
    </xf>
    <xf numFmtId="0" fontId="0" fillId="2" borderId="11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1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298"/>
  <sheetViews>
    <sheetView tabSelected="1" zoomScalePageLayoutView="0" workbookViewId="0" topLeftCell="A247">
      <selection activeCell="E253" sqref="E253"/>
    </sheetView>
  </sheetViews>
  <sheetFormatPr defaultColWidth="9.140625" defaultRowHeight="12.75"/>
  <cols>
    <col min="1" max="1" width="10.421875" style="18" customWidth="1"/>
    <col min="2" max="2" width="13.00390625" style="0" customWidth="1"/>
    <col min="3" max="3" width="13.421875" style="18" customWidth="1"/>
    <col min="4" max="4" width="13.7109375" style="0" customWidth="1"/>
    <col min="5" max="5" width="13.57421875" style="18" customWidth="1"/>
    <col min="6" max="6" width="13.57421875" style="0" customWidth="1"/>
    <col min="7" max="7" width="13.28125" style="0" customWidth="1"/>
    <col min="8" max="8" width="11.7109375" style="0" bestFit="1" customWidth="1"/>
  </cols>
  <sheetData>
    <row r="1" ht="12.75">
      <c r="B1" t="s">
        <v>12</v>
      </c>
    </row>
    <row r="2" spans="1:3" ht="12.75">
      <c r="A2" s="21" t="s">
        <v>30</v>
      </c>
      <c r="B2" s="4"/>
      <c r="C2" s="41"/>
    </row>
    <row r="3" spans="1:6" ht="12.75">
      <c r="A3" s="28"/>
      <c r="B3" s="37"/>
      <c r="C3" s="37"/>
      <c r="D3" s="37"/>
      <c r="E3" s="37"/>
      <c r="F3" s="42"/>
    </row>
    <row r="4" spans="1:6" ht="38.25">
      <c r="A4" s="16" t="s">
        <v>13</v>
      </c>
      <c r="B4" s="45" t="s">
        <v>26</v>
      </c>
      <c r="C4" s="45" t="s">
        <v>25</v>
      </c>
      <c r="D4" s="45" t="s">
        <v>27</v>
      </c>
      <c r="E4" s="45" t="s">
        <v>28</v>
      </c>
      <c r="F4" s="46" t="s">
        <v>29</v>
      </c>
    </row>
    <row r="5" spans="1:6" ht="12.75">
      <c r="A5" s="22">
        <v>0</v>
      </c>
      <c r="B5" s="22">
        <v>1</v>
      </c>
      <c r="C5" s="22">
        <v>2</v>
      </c>
      <c r="D5" s="22">
        <v>3</v>
      </c>
      <c r="E5" s="22">
        <v>4</v>
      </c>
      <c r="F5" s="44">
        <v>5</v>
      </c>
    </row>
    <row r="6" spans="1:6" ht="12.75">
      <c r="A6" s="29" t="s">
        <v>5</v>
      </c>
      <c r="B6" s="24">
        <f>C6+D6+E6</f>
        <v>3987778.66</v>
      </c>
      <c r="C6" s="24">
        <f>2121450.92+1301068.54</f>
        <v>3422519.46</v>
      </c>
      <c r="D6" s="24">
        <v>73791.89</v>
      </c>
      <c r="E6" s="24">
        <f>485427.76+6039.55</f>
        <v>491467.31</v>
      </c>
      <c r="F6" s="42"/>
    </row>
    <row r="7" spans="1:6" ht="12.75">
      <c r="A7" s="29" t="s">
        <v>6</v>
      </c>
      <c r="B7" s="24">
        <f>C7+D7+E7</f>
        <v>3919667.7499999995</v>
      </c>
      <c r="C7" s="24">
        <v>3283547.26</v>
      </c>
      <c r="D7" s="24">
        <v>104555.86</v>
      </c>
      <c r="E7" s="24">
        <f>485494.45+46070.18</f>
        <v>531564.63</v>
      </c>
      <c r="F7" s="42"/>
    </row>
    <row r="8" spans="1:6" ht="12.75">
      <c r="A8" s="29" t="s">
        <v>7</v>
      </c>
      <c r="B8" s="24">
        <f>C8+D8+E8</f>
        <v>4468310.58</v>
      </c>
      <c r="C8" s="24">
        <v>3708844.36</v>
      </c>
      <c r="D8" s="24">
        <v>135347.17</v>
      </c>
      <c r="E8" s="24">
        <f>402092.73+222026.32</f>
        <v>624119.05</v>
      </c>
      <c r="F8" s="42"/>
    </row>
    <row r="9" spans="1:6" ht="12.75">
      <c r="A9" s="30" t="s">
        <v>24</v>
      </c>
      <c r="B9" s="24">
        <f>C9+D9+E9</f>
        <v>26466.079999999998</v>
      </c>
      <c r="C9" s="24">
        <v>22415.92</v>
      </c>
      <c r="D9" s="24">
        <v>3157.38</v>
      </c>
      <c r="E9" s="24">
        <v>892.78</v>
      </c>
      <c r="F9" s="42"/>
    </row>
    <row r="10" spans="1:6" ht="12.75">
      <c r="A10" s="31" t="s">
        <v>14</v>
      </c>
      <c r="B10" s="25">
        <f>SUM(B6:B9)</f>
        <v>12402223.07</v>
      </c>
      <c r="C10" s="25">
        <f>SUM(C6:C9)</f>
        <v>10437327</v>
      </c>
      <c r="D10" s="25">
        <f>SUM(D6:D9)</f>
        <v>316852.30000000005</v>
      </c>
      <c r="E10" s="25">
        <f>SUM(E6:E9)</f>
        <v>1648043.77</v>
      </c>
      <c r="F10" s="25">
        <f>SUM(F6:F9)</f>
        <v>0</v>
      </c>
    </row>
    <row r="11" spans="1:6" ht="12.75">
      <c r="A11" s="29" t="s">
        <v>8</v>
      </c>
      <c r="B11" s="24">
        <f>C11+D11+E11</f>
        <v>4016330.75</v>
      </c>
      <c r="C11" s="24">
        <v>3422104.62</v>
      </c>
      <c r="D11" s="24">
        <v>135556.53</v>
      </c>
      <c r="E11" s="24">
        <v>458669.6</v>
      </c>
      <c r="F11" s="42"/>
    </row>
    <row r="12" spans="1:6" ht="12.75">
      <c r="A12" s="29" t="s">
        <v>9</v>
      </c>
      <c r="B12" s="24">
        <f>C12+D12+E12</f>
        <v>4460290.050000001</v>
      </c>
      <c r="C12" s="24">
        <v>3752279.99</v>
      </c>
      <c r="D12" s="24">
        <v>104560.74</v>
      </c>
      <c r="E12" s="24">
        <f>485425.95+118023.37</f>
        <v>603449.3200000001</v>
      </c>
      <c r="F12" s="42"/>
    </row>
    <row r="13" spans="1:6" ht="12.75">
      <c r="A13" s="29" t="s">
        <v>10</v>
      </c>
      <c r="B13" s="24">
        <f>C13+D13+E13</f>
        <v>3935428.55</v>
      </c>
      <c r="C13" s="24">
        <v>3289431.14</v>
      </c>
      <c r="D13" s="24">
        <v>119078.34</v>
      </c>
      <c r="E13" s="24">
        <f>485516.62+41402.45</f>
        <v>526919.07</v>
      </c>
      <c r="F13" s="42"/>
    </row>
    <row r="14" spans="1:6" ht="12.75">
      <c r="A14" s="30" t="s">
        <v>24</v>
      </c>
      <c r="B14" s="24">
        <f>C14+D14+E14</f>
        <v>71541.69</v>
      </c>
      <c r="C14" s="24">
        <v>43991.06</v>
      </c>
      <c r="D14" s="24">
        <v>43.13</v>
      </c>
      <c r="E14" s="24">
        <v>27507.5</v>
      </c>
      <c r="F14" s="42"/>
    </row>
    <row r="15" spans="1:6" ht="12.75">
      <c r="A15" s="31" t="s">
        <v>16</v>
      </c>
      <c r="B15" s="25">
        <f>SUM(B11:B14)</f>
        <v>12483591.040000001</v>
      </c>
      <c r="C15" s="25">
        <f>SUM(C11:C14)</f>
        <v>10507806.81</v>
      </c>
      <c r="D15" s="25">
        <f>SUM(D11:D14)</f>
        <v>359238.74</v>
      </c>
      <c r="E15" s="25">
        <f>SUM(E11:E14)</f>
        <v>1616545.4899999998</v>
      </c>
      <c r="F15" s="25">
        <f>SUM(F11:F14)</f>
        <v>0</v>
      </c>
    </row>
    <row r="16" spans="1:6" ht="12.75">
      <c r="A16" s="32" t="s">
        <v>15</v>
      </c>
      <c r="B16" s="26">
        <f>B10+B15</f>
        <v>24885814.11</v>
      </c>
      <c r="C16" s="26">
        <f>C10+C15</f>
        <v>20945133.810000002</v>
      </c>
      <c r="D16" s="26">
        <f>D10+D15</f>
        <v>676091.04</v>
      </c>
      <c r="E16" s="26">
        <f>E10+E15</f>
        <v>3264589.26</v>
      </c>
      <c r="F16" s="26">
        <f>F10+F15</f>
        <v>0</v>
      </c>
    </row>
    <row r="17" spans="1:8" ht="12.75">
      <c r="A17" s="29" t="s">
        <v>3</v>
      </c>
      <c r="B17" s="24">
        <f>C17+D17+E17+F17</f>
        <v>4184678.9499999997</v>
      </c>
      <c r="C17" s="24">
        <v>3619021.11</v>
      </c>
      <c r="D17" s="24">
        <v>100712.84</v>
      </c>
      <c r="E17" s="24">
        <f>419717+45228</f>
        <v>464945</v>
      </c>
      <c r="F17" s="43">
        <v>0</v>
      </c>
      <c r="G17" s="5"/>
      <c r="H17" s="5"/>
    </row>
    <row r="18" spans="1:7" ht="12.75">
      <c r="A18" s="29" t="s">
        <v>4</v>
      </c>
      <c r="B18" s="24">
        <f>C18+D18+E18+F18</f>
        <v>3914003.06</v>
      </c>
      <c r="C18" s="24">
        <v>3330380.14</v>
      </c>
      <c r="D18" s="24">
        <v>132984.92</v>
      </c>
      <c r="E18" s="24">
        <v>450638</v>
      </c>
      <c r="F18" s="42">
        <v>0</v>
      </c>
      <c r="G18" s="5"/>
    </row>
    <row r="19" spans="1:6" ht="12.75">
      <c r="A19" s="29" t="s">
        <v>11</v>
      </c>
      <c r="B19" s="24">
        <f>C19+D19+E19+F19</f>
        <v>4134327.51</v>
      </c>
      <c r="C19" s="24">
        <v>3601778.96</v>
      </c>
      <c r="D19" s="24">
        <v>57233.07</v>
      </c>
      <c r="E19" s="24">
        <v>466850</v>
      </c>
      <c r="F19" s="42">
        <v>8465.48</v>
      </c>
    </row>
    <row r="20" spans="1:7" ht="12.75">
      <c r="A20" s="30" t="s">
        <v>24</v>
      </c>
      <c r="B20" s="24">
        <f>C20+D20+E20+F20</f>
        <v>192417.31</v>
      </c>
      <c r="C20" s="24">
        <v>192172.85</v>
      </c>
      <c r="D20" s="24">
        <v>207.46</v>
      </c>
      <c r="E20" s="24">
        <v>37</v>
      </c>
      <c r="F20" s="42"/>
      <c r="G20" s="5"/>
    </row>
    <row r="21" spans="1:6" ht="12.75">
      <c r="A21" s="31" t="s">
        <v>19</v>
      </c>
      <c r="B21" s="25">
        <f>B17+B18+B19+B20</f>
        <v>12425426.83</v>
      </c>
      <c r="C21" s="25">
        <f>SUM(C17:C20)</f>
        <v>10743353.06</v>
      </c>
      <c r="D21" s="25">
        <f>SUM(D17:D20)</f>
        <v>291138.29000000004</v>
      </c>
      <c r="E21" s="25">
        <f>SUM(E17:E20)</f>
        <v>1382470</v>
      </c>
      <c r="F21" s="42"/>
    </row>
    <row r="22" spans="1:6" ht="12.75">
      <c r="A22" s="32" t="s">
        <v>17</v>
      </c>
      <c r="B22" s="26">
        <f>B16+B21</f>
        <v>37311240.94</v>
      </c>
      <c r="C22" s="26">
        <f>C16+C21</f>
        <v>31688486.870000005</v>
      </c>
      <c r="D22" s="26">
        <f>D16+D21</f>
        <v>967229.3300000001</v>
      </c>
      <c r="E22" s="26">
        <f>E16+E21</f>
        <v>4647059.26</v>
      </c>
      <c r="F22" s="26">
        <f>F16+F21</f>
        <v>0</v>
      </c>
    </row>
    <row r="23" spans="1:6" ht="12.75">
      <c r="A23" s="29" t="s">
        <v>0</v>
      </c>
      <c r="B23" s="24">
        <f>C23+D23+E23+F23</f>
        <v>4457568.489999999</v>
      </c>
      <c r="C23" s="24">
        <v>3799629.05</v>
      </c>
      <c r="D23" s="24">
        <v>106897.64</v>
      </c>
      <c r="E23" s="24">
        <v>541484</v>
      </c>
      <c r="F23" s="42">
        <v>9557.8</v>
      </c>
    </row>
    <row r="24" spans="1:6" ht="12.75">
      <c r="A24" s="29" t="s">
        <v>1</v>
      </c>
      <c r="B24" s="24">
        <f>C24+D24+E24+F24</f>
        <v>4541444.42</v>
      </c>
      <c r="C24" s="24">
        <v>3935559.87</v>
      </c>
      <c r="D24" s="24">
        <v>108172.59</v>
      </c>
      <c r="E24" s="24">
        <v>494435</v>
      </c>
      <c r="F24" s="42">
        <v>3276.96</v>
      </c>
    </row>
    <row r="25" spans="1:6" ht="12.75">
      <c r="A25" s="30" t="s">
        <v>24</v>
      </c>
      <c r="B25" s="24">
        <f>C25+D25+E25</f>
        <v>44620.68</v>
      </c>
      <c r="C25" s="24">
        <v>17752.36</v>
      </c>
      <c r="D25" s="24">
        <v>5130.32</v>
      </c>
      <c r="E25" s="24">
        <v>21738</v>
      </c>
      <c r="F25" s="42"/>
    </row>
    <row r="26" spans="1:6" ht="12.75">
      <c r="A26" s="29" t="s">
        <v>2</v>
      </c>
      <c r="B26" s="24">
        <f>C26+D26+E26+F26</f>
        <v>4077007.8899999997</v>
      </c>
      <c r="C26" s="24">
        <v>3594175.61</v>
      </c>
      <c r="D26" s="24">
        <v>83609.4</v>
      </c>
      <c r="E26" s="24">
        <v>396219</v>
      </c>
      <c r="F26" s="42">
        <v>3003.88</v>
      </c>
    </row>
    <row r="27" spans="1:6" ht="12.75">
      <c r="A27" s="30" t="s">
        <v>24</v>
      </c>
      <c r="B27" s="24">
        <f>C27+D27+E27</f>
        <v>0</v>
      </c>
      <c r="C27" s="24"/>
      <c r="D27" s="24"/>
      <c r="E27" s="24"/>
      <c r="F27" s="42"/>
    </row>
    <row r="28" spans="1:7" ht="12.75">
      <c r="A28" s="31" t="s">
        <v>20</v>
      </c>
      <c r="B28" s="25">
        <f>SUM(B23:B27)</f>
        <v>13120641.48</v>
      </c>
      <c r="C28" s="25">
        <f>SUM(C23:C27)</f>
        <v>11347116.89</v>
      </c>
      <c r="D28" s="25">
        <f>SUM(D23:D27)</f>
        <v>303809.94999999995</v>
      </c>
      <c r="E28" s="25">
        <f>SUM(E23:E27)</f>
        <v>1453876</v>
      </c>
      <c r="F28" s="25">
        <f>SUM(F23:F27)</f>
        <v>15838.64</v>
      </c>
      <c r="G28" s="5"/>
    </row>
    <row r="29" spans="1:6" ht="12.75">
      <c r="A29" s="32" t="s">
        <v>18</v>
      </c>
      <c r="B29" s="26">
        <f>B21+B28</f>
        <v>25546068.310000002</v>
      </c>
      <c r="C29" s="26">
        <f>C21+C28</f>
        <v>22090469.950000003</v>
      </c>
      <c r="D29" s="26">
        <f>D21+D28</f>
        <v>594948.24</v>
      </c>
      <c r="E29" s="26">
        <f>E21+E28</f>
        <v>2836346</v>
      </c>
      <c r="F29" s="26">
        <f>F21+F28</f>
        <v>15838.64</v>
      </c>
    </row>
    <row r="30" spans="1:6" ht="12.75">
      <c r="A30" s="29" t="s">
        <v>21</v>
      </c>
      <c r="B30" s="27">
        <f>B16+B29</f>
        <v>50431882.42</v>
      </c>
      <c r="C30" s="27">
        <f>C16+C29</f>
        <v>43035603.760000005</v>
      </c>
      <c r="D30" s="27">
        <f>D16+D29</f>
        <v>1271039.28</v>
      </c>
      <c r="E30" s="27">
        <f>E16+E29</f>
        <v>6100935.26</v>
      </c>
      <c r="F30" s="27">
        <f>F16+F29</f>
        <v>15838.64</v>
      </c>
    </row>
    <row r="31" spans="1:5" ht="12.75">
      <c r="A31" s="16"/>
      <c r="B31" s="11"/>
      <c r="C31" s="20"/>
      <c r="D31" s="11"/>
      <c r="E31" s="20"/>
    </row>
    <row r="32" spans="1:5" ht="12.75">
      <c r="A32" s="19"/>
      <c r="B32" s="3"/>
      <c r="C32" s="20"/>
      <c r="D32" s="3"/>
      <c r="E32" s="20"/>
    </row>
    <row r="33" spans="1:5" ht="12.75">
      <c r="A33" s="19"/>
      <c r="B33" s="3"/>
      <c r="C33" s="17"/>
      <c r="D33" s="12"/>
      <c r="E33" s="17"/>
    </row>
    <row r="34" spans="1:3" ht="12.75">
      <c r="A34" s="33" t="s">
        <v>31</v>
      </c>
      <c r="B34" s="2"/>
      <c r="C34" s="41"/>
    </row>
    <row r="35" spans="1:5" ht="12.75">
      <c r="A35" s="23"/>
      <c r="B35" s="23"/>
      <c r="C35" s="37"/>
      <c r="D35" s="37"/>
      <c r="E35" s="37"/>
    </row>
    <row r="36" spans="1:5" ht="38.25">
      <c r="A36" s="16" t="s">
        <v>13</v>
      </c>
      <c r="B36" s="45" t="s">
        <v>26</v>
      </c>
      <c r="C36" s="45" t="s">
        <v>25</v>
      </c>
      <c r="D36" s="45" t="s">
        <v>27</v>
      </c>
      <c r="E36" s="45" t="s">
        <v>28</v>
      </c>
    </row>
    <row r="37" spans="1:5" ht="12.75">
      <c r="A37" s="22">
        <v>0</v>
      </c>
      <c r="B37" s="22">
        <v>1</v>
      </c>
      <c r="C37" s="22">
        <v>2</v>
      </c>
      <c r="D37" s="22">
        <v>3</v>
      </c>
      <c r="E37" s="22">
        <v>4</v>
      </c>
    </row>
    <row r="38" spans="1:5" ht="12.75">
      <c r="A38" s="29" t="s">
        <v>5</v>
      </c>
      <c r="B38" s="24">
        <f aca="true" t="shared" si="0" ref="B38:B47">C38+D38+E38</f>
        <v>1063040.71</v>
      </c>
      <c r="C38" s="24">
        <v>871179.41</v>
      </c>
      <c r="D38" s="24">
        <v>110403.83</v>
      </c>
      <c r="E38" s="24">
        <f>46447.96+35009.51</f>
        <v>81457.47</v>
      </c>
    </row>
    <row r="39" spans="1:5" ht="12.75">
      <c r="A39" s="29" t="s">
        <v>6</v>
      </c>
      <c r="B39" s="24">
        <f t="shared" si="0"/>
        <v>1035086.7200000001</v>
      </c>
      <c r="C39" s="24">
        <v>871180.01</v>
      </c>
      <c r="D39" s="24">
        <v>93242.91</v>
      </c>
      <c r="E39" s="24">
        <f>46303.3+24360.5</f>
        <v>70663.8</v>
      </c>
    </row>
    <row r="40" spans="1:5" ht="12.75">
      <c r="A40" s="29" t="s">
        <v>7</v>
      </c>
      <c r="B40" s="24">
        <f t="shared" si="0"/>
        <v>1078865.03</v>
      </c>
      <c r="C40" s="24">
        <f>461837.49+445087.35</f>
        <v>906924.84</v>
      </c>
      <c r="D40" s="24">
        <v>92451.61</v>
      </c>
      <c r="E40" s="24">
        <f>61998.73+17489.85</f>
        <v>79488.58</v>
      </c>
    </row>
    <row r="41" spans="1:5" ht="12.75">
      <c r="A41" s="30" t="s">
        <v>24</v>
      </c>
      <c r="B41" s="24">
        <f t="shared" si="0"/>
        <v>-12613.68</v>
      </c>
      <c r="C41" s="24">
        <v>28.36</v>
      </c>
      <c r="D41" s="24">
        <v>-13673.68</v>
      </c>
      <c r="E41" s="24">
        <v>1031.64</v>
      </c>
    </row>
    <row r="42" spans="1:5" ht="12.75">
      <c r="A42" s="31" t="s">
        <v>14</v>
      </c>
      <c r="B42" s="38">
        <f t="shared" si="0"/>
        <v>3164378.78</v>
      </c>
      <c r="C42" s="25">
        <f>SUM(C38:C41)</f>
        <v>2649312.6199999996</v>
      </c>
      <c r="D42" s="25">
        <f>SUM(D38:D41)</f>
        <v>282424.67</v>
      </c>
      <c r="E42" s="25">
        <f>SUM(E38:E41)</f>
        <v>232641.49000000005</v>
      </c>
    </row>
    <row r="43" spans="1:5" ht="12.75">
      <c r="A43" s="29" t="s">
        <v>8</v>
      </c>
      <c r="B43" s="24">
        <f t="shared" si="0"/>
        <v>886249</v>
      </c>
      <c r="C43" s="24">
        <v>765572.32</v>
      </c>
      <c r="D43" s="24">
        <v>54527.05</v>
      </c>
      <c r="E43" s="24">
        <f>46328.12+19821.51</f>
        <v>66149.63</v>
      </c>
    </row>
    <row r="44" spans="1:7" ht="12.75">
      <c r="A44" s="29" t="s">
        <v>9</v>
      </c>
      <c r="B44" s="24">
        <f t="shared" si="0"/>
        <v>1145871.3499999999</v>
      </c>
      <c r="C44" s="24">
        <f>539814.33+432430.83</f>
        <v>972245.1599999999</v>
      </c>
      <c r="D44" s="24">
        <v>77265.99</v>
      </c>
      <c r="E44" s="24">
        <f>47267.79+49092.41</f>
        <v>96360.20000000001</v>
      </c>
      <c r="G44" s="5"/>
    </row>
    <row r="45" spans="1:5" ht="12.75">
      <c r="A45" s="29" t="s">
        <v>10</v>
      </c>
      <c r="B45" s="24">
        <f t="shared" si="0"/>
        <v>966867.8099999999</v>
      </c>
      <c r="C45" s="24">
        <f>400789.55+389321.14</f>
        <v>790110.69</v>
      </c>
      <c r="D45" s="24">
        <v>74662.83</v>
      </c>
      <c r="E45" s="24">
        <f>47331.11+54763.18</f>
        <v>102094.29000000001</v>
      </c>
    </row>
    <row r="46" spans="1:5" ht="12.75">
      <c r="A46" s="30" t="s">
        <v>24</v>
      </c>
      <c r="B46" s="24">
        <f t="shared" si="0"/>
        <v>183068.90000000002</v>
      </c>
      <c r="C46" s="24">
        <v>182686.44</v>
      </c>
      <c r="D46" s="24">
        <v>101.29</v>
      </c>
      <c r="E46" s="24">
        <v>281.17</v>
      </c>
    </row>
    <row r="47" spans="1:5" ht="12.75">
      <c r="A47" s="31" t="s">
        <v>16</v>
      </c>
      <c r="B47" s="38">
        <f t="shared" si="0"/>
        <v>3182057.06</v>
      </c>
      <c r="C47" s="25">
        <f>SUM(C43:C46)</f>
        <v>2710614.61</v>
      </c>
      <c r="D47" s="25">
        <f>SUM(D43:D46)</f>
        <v>206557.16</v>
      </c>
      <c r="E47" s="25">
        <f>SUM(E43:E46)</f>
        <v>264885.29</v>
      </c>
    </row>
    <row r="48" spans="1:5" ht="12.75">
      <c r="A48" s="32" t="s">
        <v>15</v>
      </c>
      <c r="B48" s="26">
        <f>B42+B47</f>
        <v>6346435.84</v>
      </c>
      <c r="C48" s="26">
        <f>C42+C47</f>
        <v>5359927.2299999995</v>
      </c>
      <c r="D48" s="26">
        <f>D42+D47</f>
        <v>488981.82999999996</v>
      </c>
      <c r="E48" s="26">
        <f>E42+E47</f>
        <v>497526.78</v>
      </c>
    </row>
    <row r="49" spans="1:5" ht="12.75">
      <c r="A49" s="29" t="s">
        <v>3</v>
      </c>
      <c r="B49" s="24">
        <f>C49+D49+E49</f>
        <v>1122746.02</v>
      </c>
      <c r="C49" s="24">
        <v>998501.19</v>
      </c>
      <c r="D49" s="24">
        <v>65425.83</v>
      </c>
      <c r="E49" s="24">
        <v>58819</v>
      </c>
    </row>
    <row r="50" spans="1:5" ht="12.75">
      <c r="A50" s="29" t="s">
        <v>4</v>
      </c>
      <c r="B50" s="24">
        <f>C50+D50+E50</f>
        <v>1085019.87</v>
      </c>
      <c r="C50" s="24">
        <v>932114.92</v>
      </c>
      <c r="D50" s="24">
        <v>83700.95</v>
      </c>
      <c r="E50" s="24">
        <v>69204</v>
      </c>
    </row>
    <row r="51" spans="1:5" ht="12.75">
      <c r="A51" s="29" t="s">
        <v>11</v>
      </c>
      <c r="B51" s="24">
        <f>C51+D51+E51</f>
        <v>1196428.78</v>
      </c>
      <c r="C51" s="24">
        <v>1057086.74</v>
      </c>
      <c r="D51" s="24">
        <v>72548.04</v>
      </c>
      <c r="E51" s="24">
        <v>66794</v>
      </c>
    </row>
    <row r="52" spans="1:5" ht="12.75">
      <c r="A52" s="30" t="s">
        <v>24</v>
      </c>
      <c r="B52" s="24">
        <f>C52+D52+E52</f>
        <v>72212.57</v>
      </c>
      <c r="C52" s="24">
        <v>66109.57</v>
      </c>
      <c r="D52" s="24"/>
      <c r="E52" s="24">
        <v>6103</v>
      </c>
    </row>
    <row r="53" spans="1:5" ht="12.75">
      <c r="A53" s="31" t="s">
        <v>19</v>
      </c>
      <c r="B53" s="25">
        <f>SUM(B49:B52)</f>
        <v>3476407.2399999998</v>
      </c>
      <c r="C53" s="25">
        <f>SUM(C49:C52)</f>
        <v>3053812.4199999995</v>
      </c>
      <c r="D53" s="25">
        <f>SUM(D49:D52)</f>
        <v>221674.82</v>
      </c>
      <c r="E53" s="25">
        <f>SUM(E49:E52)</f>
        <v>200920</v>
      </c>
    </row>
    <row r="54" spans="1:5" ht="12.75">
      <c r="A54" s="32" t="s">
        <v>17</v>
      </c>
      <c r="B54" s="26">
        <f>B48+B53</f>
        <v>9822843.08</v>
      </c>
      <c r="C54" s="26">
        <f>C48+C53</f>
        <v>8413739.649999999</v>
      </c>
      <c r="D54" s="26">
        <f>D48+D53</f>
        <v>710656.6499999999</v>
      </c>
      <c r="E54" s="26">
        <f>E48+E53</f>
        <v>698446.78</v>
      </c>
    </row>
    <row r="55" spans="1:5" ht="12.75">
      <c r="A55" s="29" t="s">
        <v>0</v>
      </c>
      <c r="B55" s="24">
        <f aca="true" t="shared" si="1" ref="B55:B60">C55+D55+E55</f>
        <v>1205767.07</v>
      </c>
      <c r="C55" s="24">
        <v>1062272</v>
      </c>
      <c r="D55" s="24">
        <v>74897.07</v>
      </c>
      <c r="E55" s="24">
        <v>68598</v>
      </c>
    </row>
    <row r="56" spans="1:5" ht="12.75">
      <c r="A56" s="29" t="s">
        <v>1</v>
      </c>
      <c r="B56" s="24">
        <f t="shared" si="1"/>
        <v>1021700.48</v>
      </c>
      <c r="C56" s="24">
        <v>899772.28</v>
      </c>
      <c r="D56" s="24">
        <v>75151.2</v>
      </c>
      <c r="E56" s="24">
        <v>46777</v>
      </c>
    </row>
    <row r="57" spans="1:5" ht="12.75">
      <c r="A57" s="30" t="s">
        <v>24</v>
      </c>
      <c r="B57" s="24">
        <f t="shared" si="1"/>
        <v>80370.72</v>
      </c>
      <c r="C57" s="24">
        <v>57692.91</v>
      </c>
      <c r="D57" s="24">
        <v>-9.19</v>
      </c>
      <c r="E57" s="24">
        <v>22687</v>
      </c>
    </row>
    <row r="58" spans="1:5" ht="12.75">
      <c r="A58" s="29" t="s">
        <v>2</v>
      </c>
      <c r="B58" s="24">
        <f t="shared" si="1"/>
        <v>999847.8999999999</v>
      </c>
      <c r="C58" s="24">
        <v>884543.47</v>
      </c>
      <c r="D58" s="24">
        <v>69571.43</v>
      </c>
      <c r="E58" s="39">
        <v>45733</v>
      </c>
    </row>
    <row r="59" spans="1:5" ht="12.75">
      <c r="A59" s="30" t="s">
        <v>24</v>
      </c>
      <c r="B59" s="24">
        <f t="shared" si="1"/>
        <v>0</v>
      </c>
      <c r="C59" s="24"/>
      <c r="D59" s="24"/>
      <c r="E59" s="39"/>
    </row>
    <row r="60" spans="1:5" ht="12.75">
      <c r="A60" s="31" t="s">
        <v>20</v>
      </c>
      <c r="B60" s="24">
        <f t="shared" si="1"/>
        <v>3307686.17</v>
      </c>
      <c r="C60" s="38">
        <f>SUM(C55:C59)</f>
        <v>2904280.66</v>
      </c>
      <c r="D60" s="38">
        <f>SUM(D55:D59)</f>
        <v>219610.51</v>
      </c>
      <c r="E60" s="38">
        <f>SUM(E55:E59)</f>
        <v>183795</v>
      </c>
    </row>
    <row r="61" spans="1:5" ht="12.75">
      <c r="A61" s="32" t="s">
        <v>18</v>
      </c>
      <c r="B61" s="26">
        <f>B53+B60</f>
        <v>6784093.41</v>
      </c>
      <c r="C61" s="26">
        <f>C53+C60</f>
        <v>5958093.08</v>
      </c>
      <c r="D61" s="26">
        <f>D53+D60</f>
        <v>441285.33</v>
      </c>
      <c r="E61" s="26">
        <f>E53+E60</f>
        <v>384715</v>
      </c>
    </row>
    <row r="62" spans="1:5" ht="12.75">
      <c r="A62" s="29" t="s">
        <v>21</v>
      </c>
      <c r="B62" s="27">
        <f>B48+B61</f>
        <v>13130529.25</v>
      </c>
      <c r="C62" s="27">
        <f>C48+C61</f>
        <v>11318020.309999999</v>
      </c>
      <c r="D62" s="27">
        <f>D48+D61</f>
        <v>930267.1599999999</v>
      </c>
      <c r="E62" s="27">
        <f>E48+E61</f>
        <v>882241.78</v>
      </c>
    </row>
    <row r="63" spans="1:5" ht="12.75">
      <c r="A63" s="16"/>
      <c r="B63" s="11"/>
      <c r="C63" s="20"/>
      <c r="D63" s="11"/>
      <c r="E63" s="20"/>
    </row>
    <row r="64" spans="1:5" s="8" customFormat="1" ht="12.75">
      <c r="A64" s="19"/>
      <c r="B64" s="3"/>
      <c r="C64" s="20"/>
      <c r="D64" s="3"/>
      <c r="E64" s="20"/>
    </row>
    <row r="65" spans="1:5" s="14" customFormat="1" ht="12.75">
      <c r="A65" s="19"/>
      <c r="B65" s="10"/>
      <c r="C65" s="17"/>
      <c r="D65" s="10"/>
      <c r="E65" s="17"/>
    </row>
    <row r="66" spans="1:5" ht="12.75">
      <c r="A66" s="16"/>
      <c r="B66" s="3"/>
      <c r="C66" s="20"/>
      <c r="D66" s="3"/>
      <c r="E66" s="20"/>
    </row>
    <row r="67" spans="1:5" ht="12.75">
      <c r="A67" s="21" t="s">
        <v>32</v>
      </c>
      <c r="B67" s="1"/>
      <c r="C67" s="41"/>
      <c r="E67" s="15"/>
    </row>
    <row r="68" spans="1:5" ht="12.75">
      <c r="A68" s="28"/>
      <c r="B68" s="37"/>
      <c r="C68" s="37"/>
      <c r="D68" s="37"/>
      <c r="E68" s="37"/>
    </row>
    <row r="69" spans="1:5" ht="38.25">
      <c r="A69" s="16" t="s">
        <v>13</v>
      </c>
      <c r="B69" s="45" t="s">
        <v>26</v>
      </c>
      <c r="C69" s="45" t="s">
        <v>25</v>
      </c>
      <c r="D69" s="45" t="s">
        <v>27</v>
      </c>
      <c r="E69" s="45" t="s">
        <v>28</v>
      </c>
    </row>
    <row r="70" spans="1:5" ht="12.75">
      <c r="A70" s="22">
        <v>0</v>
      </c>
      <c r="B70" s="22">
        <v>1</v>
      </c>
      <c r="C70" s="22">
        <v>2</v>
      </c>
      <c r="D70" s="22">
        <v>3</v>
      </c>
      <c r="E70" s="22">
        <v>4</v>
      </c>
    </row>
    <row r="71" spans="1:5" ht="12.75">
      <c r="A71" s="29" t="s">
        <v>5</v>
      </c>
      <c r="B71" s="24">
        <f aca="true" t="shared" si="2" ref="B71:B80">C71+D71+E71</f>
        <v>660742.35</v>
      </c>
      <c r="C71" s="24">
        <v>417231.67</v>
      </c>
      <c r="D71" s="24">
        <v>0</v>
      </c>
      <c r="E71" s="24">
        <f>214952.35+28558.33</f>
        <v>243510.68</v>
      </c>
    </row>
    <row r="72" spans="1:5" ht="12.75">
      <c r="A72" s="29" t="s">
        <v>6</v>
      </c>
      <c r="B72" s="24">
        <f t="shared" si="2"/>
        <v>585276.55</v>
      </c>
      <c r="C72" s="24">
        <v>379729.1</v>
      </c>
      <c r="D72" s="24">
        <v>0</v>
      </c>
      <c r="E72" s="24">
        <v>205547.45</v>
      </c>
    </row>
    <row r="73" spans="1:5" ht="12.75">
      <c r="A73" s="29" t="s">
        <v>7</v>
      </c>
      <c r="B73" s="24">
        <f t="shared" si="2"/>
        <v>711738.75</v>
      </c>
      <c r="C73" s="24">
        <v>434524.38</v>
      </c>
      <c r="D73" s="24">
        <v>0</v>
      </c>
      <c r="E73" s="24">
        <f>178598.11+98616.26</f>
        <v>277214.37</v>
      </c>
    </row>
    <row r="74" spans="1:5" ht="12.75">
      <c r="A74" s="30" t="s">
        <v>24</v>
      </c>
      <c r="B74" s="24">
        <f t="shared" si="2"/>
        <v>27826.39</v>
      </c>
      <c r="C74" s="24">
        <v>18574.09</v>
      </c>
      <c r="D74" s="24">
        <v>0</v>
      </c>
      <c r="E74" s="24">
        <v>9252.3</v>
      </c>
    </row>
    <row r="75" spans="1:5" ht="12.75">
      <c r="A75" s="31" t="s">
        <v>14</v>
      </c>
      <c r="B75" s="38">
        <f t="shared" si="2"/>
        <v>1985584.04</v>
      </c>
      <c r="C75" s="25">
        <f>SUM(C71:C74)</f>
        <v>1250059.24</v>
      </c>
      <c r="D75" s="25">
        <f>SUM(D71:D74)</f>
        <v>0</v>
      </c>
      <c r="E75" s="25">
        <f>SUM(E71:E74)</f>
        <v>735524.8</v>
      </c>
    </row>
    <row r="76" spans="1:5" ht="12.75">
      <c r="A76" s="29" t="s">
        <v>8</v>
      </c>
      <c r="B76" s="24">
        <f t="shared" si="2"/>
        <v>657338.94</v>
      </c>
      <c r="C76" s="24">
        <v>434439.76</v>
      </c>
      <c r="D76" s="24">
        <v>0</v>
      </c>
      <c r="E76" s="24">
        <f>214944+7955.18</f>
        <v>222899.18</v>
      </c>
    </row>
    <row r="77" spans="1:5" ht="12.75">
      <c r="A77" s="29" t="s">
        <v>9</v>
      </c>
      <c r="B77" s="24">
        <f t="shared" si="2"/>
        <v>716376.52</v>
      </c>
      <c r="C77" s="24">
        <f>157772.04+276660.1</f>
        <v>434432.14</v>
      </c>
      <c r="D77" s="24">
        <v>0</v>
      </c>
      <c r="E77" s="24">
        <f>214915.13+67029.25</f>
        <v>281944.38</v>
      </c>
    </row>
    <row r="78" spans="1:5" ht="12.75">
      <c r="A78" s="29" t="s">
        <v>10</v>
      </c>
      <c r="B78" s="24">
        <f t="shared" si="2"/>
        <v>642667.14</v>
      </c>
      <c r="C78" s="24">
        <v>390641.32</v>
      </c>
      <c r="D78" s="24">
        <v>0</v>
      </c>
      <c r="E78" s="24">
        <f>214943.19+37082.63</f>
        <v>252025.82</v>
      </c>
    </row>
    <row r="79" spans="1:5" ht="12.75">
      <c r="A79" s="30" t="s">
        <v>24</v>
      </c>
      <c r="B79" s="24">
        <f t="shared" si="2"/>
        <v>44617.06</v>
      </c>
      <c r="C79" s="24">
        <v>44284.47</v>
      </c>
      <c r="D79" s="24">
        <v>0</v>
      </c>
      <c r="E79" s="24">
        <v>332.59</v>
      </c>
    </row>
    <row r="80" spans="1:5" ht="12.75">
      <c r="A80" s="31" t="s">
        <v>16</v>
      </c>
      <c r="B80" s="38">
        <f t="shared" si="2"/>
        <v>2060999.66</v>
      </c>
      <c r="C80" s="25">
        <f>SUM(C76:C79)</f>
        <v>1303797.69</v>
      </c>
      <c r="D80" s="25">
        <f>SUM(D76:D79)</f>
        <v>0</v>
      </c>
      <c r="E80" s="25">
        <f>SUM(E76:E79)</f>
        <v>757201.97</v>
      </c>
    </row>
    <row r="81" spans="1:5" ht="12.75">
      <c r="A81" s="32" t="s">
        <v>15</v>
      </c>
      <c r="B81" s="26">
        <f>B75+B80</f>
        <v>4046583.7</v>
      </c>
      <c r="C81" s="26">
        <f>C75+C80</f>
        <v>2553856.9299999997</v>
      </c>
      <c r="D81" s="26">
        <f>D75+D80</f>
        <v>0</v>
      </c>
      <c r="E81" s="26">
        <f>E75+E80</f>
        <v>1492726.77</v>
      </c>
    </row>
    <row r="82" spans="1:5" ht="12.75">
      <c r="A82" s="29" t="s">
        <v>3</v>
      </c>
      <c r="B82" s="24">
        <f>C82+D82+E82</f>
        <v>750355.62</v>
      </c>
      <c r="C82" s="24">
        <v>479890.62</v>
      </c>
      <c r="D82" s="24">
        <v>0</v>
      </c>
      <c r="E82" s="24">
        <f>189958+80507</f>
        <v>270465</v>
      </c>
    </row>
    <row r="83" spans="1:5" ht="12.75">
      <c r="A83" s="29" t="s">
        <v>4</v>
      </c>
      <c r="B83" s="24">
        <f>C83+D83+E83</f>
        <v>707475.47</v>
      </c>
      <c r="C83" s="24">
        <v>429832.47</v>
      </c>
      <c r="D83" s="24">
        <v>0</v>
      </c>
      <c r="E83" s="24">
        <v>277643</v>
      </c>
    </row>
    <row r="84" spans="1:5" ht="12.75">
      <c r="A84" s="29" t="s">
        <v>11</v>
      </c>
      <c r="B84" s="24">
        <f>C84+D84+E84</f>
        <v>681485.8200000001</v>
      </c>
      <c r="C84" s="24">
        <v>433121.82</v>
      </c>
      <c r="D84" s="24">
        <v>0</v>
      </c>
      <c r="E84" s="24">
        <v>248364</v>
      </c>
    </row>
    <row r="85" spans="1:5" ht="12.75">
      <c r="A85" s="30" t="s">
        <v>24</v>
      </c>
      <c r="B85" s="24">
        <f>C85+D85+E85</f>
        <v>22461.61</v>
      </c>
      <c r="C85" s="24">
        <v>22450.61</v>
      </c>
      <c r="D85" s="24">
        <v>0</v>
      </c>
      <c r="E85" s="24">
        <v>11</v>
      </c>
    </row>
    <row r="86" spans="1:5" ht="12.75">
      <c r="A86" s="31" t="s">
        <v>19</v>
      </c>
      <c r="B86" s="25">
        <f>SUM(B82:B85)</f>
        <v>2161778.52</v>
      </c>
      <c r="C86" s="25">
        <f>SUM(C82:C85)</f>
        <v>1365295.52</v>
      </c>
      <c r="D86" s="25">
        <f>SUM(D82:D85)</f>
        <v>0</v>
      </c>
      <c r="E86" s="25">
        <f>SUM(E82:E85)</f>
        <v>796483</v>
      </c>
    </row>
    <row r="87" spans="1:5" ht="12.75">
      <c r="A87" s="32" t="s">
        <v>17</v>
      </c>
      <c r="B87" s="26">
        <f>B81+B86</f>
        <v>6208362.220000001</v>
      </c>
      <c r="C87" s="26">
        <f>C81+C86</f>
        <v>3919152.4499999997</v>
      </c>
      <c r="D87" s="26">
        <f>D81+D86</f>
        <v>0</v>
      </c>
      <c r="E87" s="26">
        <f>E81+E86</f>
        <v>2289209.77</v>
      </c>
    </row>
    <row r="88" spans="1:5" ht="12.75">
      <c r="A88" s="29" t="s">
        <v>0</v>
      </c>
      <c r="B88" s="24">
        <f aca="true" t="shared" si="3" ref="B88:B93">C88+D88+E88</f>
        <v>699868.97</v>
      </c>
      <c r="C88" s="24">
        <v>450193.97</v>
      </c>
      <c r="D88" s="24"/>
      <c r="E88" s="24">
        <v>249675</v>
      </c>
    </row>
    <row r="89" spans="1:5" ht="12.75">
      <c r="A89" s="29" t="s">
        <v>1</v>
      </c>
      <c r="B89" s="24">
        <f t="shared" si="3"/>
        <v>623138.95</v>
      </c>
      <c r="C89" s="24">
        <v>422994.95</v>
      </c>
      <c r="D89" s="24"/>
      <c r="E89" s="24">
        <v>200144</v>
      </c>
    </row>
    <row r="90" spans="1:5" ht="12.75">
      <c r="A90" s="30" t="s">
        <v>24</v>
      </c>
      <c r="B90" s="24">
        <f t="shared" si="3"/>
        <v>70925.68</v>
      </c>
      <c r="C90" s="24">
        <v>52831.68</v>
      </c>
      <c r="D90" s="24"/>
      <c r="E90" s="24">
        <v>18094</v>
      </c>
    </row>
    <row r="91" spans="1:5" ht="12.75">
      <c r="A91" s="29" t="s">
        <v>2</v>
      </c>
      <c r="B91" s="24">
        <f t="shared" si="3"/>
        <v>517223.68</v>
      </c>
      <c r="C91" s="24">
        <v>391831.68</v>
      </c>
      <c r="D91" s="24"/>
      <c r="E91" s="24">
        <v>125392</v>
      </c>
    </row>
    <row r="92" spans="1:5" ht="12.75">
      <c r="A92" s="30" t="s">
        <v>24</v>
      </c>
      <c r="B92" s="24">
        <f t="shared" si="3"/>
        <v>0</v>
      </c>
      <c r="C92" s="24"/>
      <c r="D92" s="24"/>
      <c r="E92" s="24"/>
    </row>
    <row r="93" spans="1:5" ht="12.75">
      <c r="A93" s="31" t="s">
        <v>20</v>
      </c>
      <c r="B93" s="24">
        <f t="shared" si="3"/>
        <v>1911157.28</v>
      </c>
      <c r="C93" s="25">
        <f>SUM(C88:C92)</f>
        <v>1317852.28</v>
      </c>
      <c r="D93" s="25">
        <f>SUM(D88:D92)</f>
        <v>0</v>
      </c>
      <c r="E93" s="25">
        <f>SUM(E88:E92)</f>
        <v>593305</v>
      </c>
    </row>
    <row r="94" spans="1:5" ht="12.75">
      <c r="A94" s="32" t="s">
        <v>18</v>
      </c>
      <c r="B94" s="26">
        <f>B86+B93</f>
        <v>4072935.8</v>
      </c>
      <c r="C94" s="26">
        <f>C86+C93</f>
        <v>2683147.8</v>
      </c>
      <c r="D94" s="26">
        <f>D86+D93</f>
        <v>0</v>
      </c>
      <c r="E94" s="26">
        <f>E86+E93</f>
        <v>1389788</v>
      </c>
    </row>
    <row r="95" spans="1:5" ht="12.75">
      <c r="A95" s="29" t="s">
        <v>21</v>
      </c>
      <c r="B95" s="27">
        <f>B81+B94</f>
        <v>8119519.5</v>
      </c>
      <c r="C95" s="27">
        <f>C81+C94</f>
        <v>5237004.7299999995</v>
      </c>
      <c r="D95" s="27">
        <f>D81+D94</f>
        <v>0</v>
      </c>
      <c r="E95" s="27">
        <f>E81+E94</f>
        <v>2882514.77</v>
      </c>
    </row>
    <row r="96" spans="1:5" ht="12.75">
      <c r="A96" s="16"/>
      <c r="B96" s="11"/>
      <c r="C96" s="20"/>
      <c r="D96" s="11"/>
      <c r="E96" s="20"/>
    </row>
    <row r="97" spans="1:5" s="13" customFormat="1" ht="14.25" customHeight="1">
      <c r="A97" s="19"/>
      <c r="B97" s="3"/>
      <c r="C97" s="20"/>
      <c r="D97" s="3"/>
      <c r="E97" s="20"/>
    </row>
    <row r="98" spans="1:5" ht="12.75">
      <c r="A98" s="16"/>
      <c r="B98" s="7"/>
      <c r="C98" s="34"/>
      <c r="D98" s="7"/>
      <c r="E98" s="34"/>
    </row>
    <row r="99" spans="1:3" ht="12.75">
      <c r="A99" s="21" t="s">
        <v>33</v>
      </c>
      <c r="B99" s="1"/>
      <c r="C99" s="41"/>
    </row>
    <row r="100" spans="1:5" ht="12.75">
      <c r="A100" s="28"/>
      <c r="B100" s="37"/>
      <c r="C100" s="37"/>
      <c r="D100" s="37"/>
      <c r="E100" s="37"/>
    </row>
    <row r="101" spans="1:5" ht="25.5">
      <c r="A101" s="16" t="s">
        <v>13</v>
      </c>
      <c r="B101" s="45" t="s">
        <v>26</v>
      </c>
      <c r="C101" s="45" t="s">
        <v>25</v>
      </c>
      <c r="D101" s="45" t="s">
        <v>27</v>
      </c>
      <c r="E101" s="46" t="s">
        <v>29</v>
      </c>
    </row>
    <row r="102" spans="1:5" ht="12.75">
      <c r="A102" s="22">
        <v>0</v>
      </c>
      <c r="B102" s="22">
        <v>1</v>
      </c>
      <c r="C102" s="22">
        <v>2</v>
      </c>
      <c r="D102" s="22">
        <v>3</v>
      </c>
      <c r="E102" s="22">
        <v>4</v>
      </c>
    </row>
    <row r="103" spans="1:7" ht="12.75">
      <c r="A103" s="29" t="s">
        <v>5</v>
      </c>
      <c r="B103" s="24">
        <f>E103+D103+C103</f>
        <v>632075.9</v>
      </c>
      <c r="C103" s="24">
        <v>320109.82</v>
      </c>
      <c r="D103" s="24">
        <v>255165.44</v>
      </c>
      <c r="E103" s="39">
        <v>56800.64</v>
      </c>
      <c r="G103" s="5"/>
    </row>
    <row r="104" spans="1:7" ht="12.75">
      <c r="A104" s="29" t="s">
        <v>6</v>
      </c>
      <c r="B104" s="24">
        <f>E104+D104+C104</f>
        <v>659869.45</v>
      </c>
      <c r="C104" s="24">
        <v>354734.37</v>
      </c>
      <c r="D104" s="24">
        <v>249699.84</v>
      </c>
      <c r="E104" s="39">
        <v>55435.24</v>
      </c>
      <c r="G104" s="5"/>
    </row>
    <row r="105" spans="1:8" ht="12.75">
      <c r="A105" s="29" t="s">
        <v>7</v>
      </c>
      <c r="B105" s="24">
        <f>E105+D105+C105</f>
        <v>660232.61</v>
      </c>
      <c r="C105" s="24">
        <v>358408.93</v>
      </c>
      <c r="D105" s="24">
        <v>255946.24</v>
      </c>
      <c r="E105" s="24">
        <v>45877.44</v>
      </c>
      <c r="G105" s="5"/>
      <c r="H105" s="11"/>
    </row>
    <row r="106" spans="1:5" ht="12.75">
      <c r="A106" s="30" t="s">
        <v>24</v>
      </c>
      <c r="B106" s="24">
        <f>E106+D106+C106</f>
        <v>32601.28</v>
      </c>
      <c r="C106" s="24">
        <v>28031.8</v>
      </c>
      <c r="D106" s="24">
        <v>7027.2</v>
      </c>
      <c r="E106" s="24">
        <v>-2457.72</v>
      </c>
    </row>
    <row r="107" spans="1:5" ht="12.75">
      <c r="A107" s="31" t="s">
        <v>14</v>
      </c>
      <c r="B107" s="38">
        <f>B103+B104+B105+B106</f>
        <v>1984779.24</v>
      </c>
      <c r="C107" s="25">
        <f>SUM(C103:C106)</f>
        <v>1061284.92</v>
      </c>
      <c r="D107" s="25">
        <f>SUM(D103:D106)</f>
        <v>767838.72</v>
      </c>
      <c r="E107" s="25">
        <f>SUM(E103:E106)</f>
        <v>155655.6</v>
      </c>
    </row>
    <row r="108" spans="1:5" ht="12.75">
      <c r="A108" s="29" t="s">
        <v>8</v>
      </c>
      <c r="B108" s="24">
        <f>E108+D108+C108</f>
        <v>681491.64</v>
      </c>
      <c r="C108" s="24">
        <v>370383.24</v>
      </c>
      <c r="D108" s="24">
        <v>255946.24</v>
      </c>
      <c r="E108" s="24">
        <v>55162.16</v>
      </c>
    </row>
    <row r="109" spans="1:5" ht="12.75">
      <c r="A109" s="29" t="s">
        <v>9</v>
      </c>
      <c r="B109" s="24">
        <f>E109+D109+C109</f>
        <v>684237.36</v>
      </c>
      <c r="C109" s="24">
        <v>370125.08</v>
      </c>
      <c r="D109" s="24">
        <v>255946.24</v>
      </c>
      <c r="E109" s="24">
        <v>58166.04</v>
      </c>
    </row>
    <row r="110" spans="1:8" ht="12.75">
      <c r="A110" s="29" t="s">
        <v>10</v>
      </c>
      <c r="B110" s="24">
        <f>E110+D110+C110</f>
        <v>642076.05</v>
      </c>
      <c r="C110" s="24">
        <v>371376.25</v>
      </c>
      <c r="D110" s="24">
        <v>212533.76</v>
      </c>
      <c r="E110" s="39">
        <v>58166.04</v>
      </c>
      <c r="H110" s="5"/>
    </row>
    <row r="111" spans="1:5" ht="12.75">
      <c r="A111" s="30" t="s">
        <v>24</v>
      </c>
      <c r="B111" s="24">
        <f>E111+D111+C111</f>
        <v>34471.5</v>
      </c>
      <c r="C111" s="24">
        <v>3591.06</v>
      </c>
      <c r="D111" s="24">
        <v>30607.36</v>
      </c>
      <c r="E111" s="24">
        <v>273.08</v>
      </c>
    </row>
    <row r="112" spans="1:5" ht="12.75">
      <c r="A112" s="31" t="s">
        <v>16</v>
      </c>
      <c r="B112" s="38">
        <f>B108+B109+B110+B111</f>
        <v>2042276.55</v>
      </c>
      <c r="C112" s="25">
        <f>SUM(C108:C111)</f>
        <v>1115475.6300000001</v>
      </c>
      <c r="D112" s="25">
        <f>SUM(D108:D111)</f>
        <v>755033.6</v>
      </c>
      <c r="E112" s="25">
        <f>SUM(E108:E111)</f>
        <v>171767.32</v>
      </c>
    </row>
    <row r="113" spans="1:5" ht="12.75">
      <c r="A113" s="32" t="s">
        <v>15</v>
      </c>
      <c r="B113" s="26">
        <f>B107+B112</f>
        <v>4027055.79</v>
      </c>
      <c r="C113" s="26">
        <f>C107+C112</f>
        <v>2176760.55</v>
      </c>
      <c r="D113" s="26">
        <f>D107+D112</f>
        <v>1522872.3199999998</v>
      </c>
      <c r="E113" s="26">
        <f>E107+E112</f>
        <v>327422.92000000004</v>
      </c>
    </row>
    <row r="114" spans="1:5" ht="12.75">
      <c r="A114" s="29" t="s">
        <v>3</v>
      </c>
      <c r="B114" s="24">
        <f>D114+E114+C114</f>
        <v>640041.88</v>
      </c>
      <c r="C114" s="24">
        <v>358879.36</v>
      </c>
      <c r="D114" s="24">
        <v>222996.48</v>
      </c>
      <c r="E114" s="39">
        <v>58166.04</v>
      </c>
    </row>
    <row r="115" spans="1:5" ht="12.75">
      <c r="A115" s="29" t="s">
        <v>4</v>
      </c>
      <c r="B115" s="24">
        <f>D115+E115+C115</f>
        <v>682986.4</v>
      </c>
      <c r="C115" s="24">
        <v>369811.08</v>
      </c>
      <c r="D115" s="24">
        <v>255009.28</v>
      </c>
      <c r="E115" s="39">
        <v>58166.04</v>
      </c>
    </row>
    <row r="116" spans="1:5" ht="12.75">
      <c r="A116" s="29" t="s">
        <v>11</v>
      </c>
      <c r="B116" s="24">
        <f>D116+E116+C116</f>
        <v>639060.72</v>
      </c>
      <c r="C116" s="24">
        <v>339315.16</v>
      </c>
      <c r="D116" s="24">
        <v>241579.52</v>
      </c>
      <c r="E116" s="24">
        <v>58166.04</v>
      </c>
    </row>
    <row r="117" spans="1:5" ht="12.75">
      <c r="A117" s="30" t="s">
        <v>24</v>
      </c>
      <c r="B117" s="24">
        <f>D117+E117+C117</f>
        <v>2495.27</v>
      </c>
      <c r="C117" s="24">
        <v>2495.27</v>
      </c>
      <c r="D117" s="24"/>
      <c r="E117" s="24"/>
    </row>
    <row r="118" spans="1:5" ht="12.75">
      <c r="A118" s="31" t="s">
        <v>19</v>
      </c>
      <c r="B118" s="25">
        <f>SUM(B114:B117)</f>
        <v>1964584.27</v>
      </c>
      <c r="C118" s="25">
        <f>SUM(C114:C117)</f>
        <v>1070500.8699999999</v>
      </c>
      <c r="D118" s="25">
        <f>SUM(D114:D117)</f>
        <v>719585.28</v>
      </c>
      <c r="E118" s="25">
        <f>SUM(E114:E117)</f>
        <v>174498.12</v>
      </c>
    </row>
    <row r="119" spans="1:5" ht="12.75">
      <c r="A119" s="32" t="s">
        <v>17</v>
      </c>
      <c r="B119" s="26">
        <f>B113+B118</f>
        <v>5991640.0600000005</v>
      </c>
      <c r="C119" s="26">
        <f>C113+C118</f>
        <v>3247261.42</v>
      </c>
      <c r="D119" s="26">
        <f>D113+D118</f>
        <v>2242457.5999999996</v>
      </c>
      <c r="E119" s="26">
        <f>E113+E118</f>
        <v>501921.04000000004</v>
      </c>
    </row>
    <row r="120" spans="1:5" ht="12.75">
      <c r="A120" s="29" t="s">
        <v>0</v>
      </c>
      <c r="B120" s="24">
        <f>E120+D120+C120</f>
        <v>686209.53</v>
      </c>
      <c r="C120" s="24">
        <v>372097.25</v>
      </c>
      <c r="D120" s="24">
        <v>255946.24</v>
      </c>
      <c r="E120" s="24">
        <v>58166.04</v>
      </c>
    </row>
    <row r="121" spans="1:8" ht="12.75">
      <c r="A121" s="29" t="s">
        <v>1</v>
      </c>
      <c r="B121" s="24">
        <f>E121+D121+C121</f>
        <v>681007.11</v>
      </c>
      <c r="C121" s="24">
        <v>377630.63</v>
      </c>
      <c r="D121" s="24">
        <v>245483.52</v>
      </c>
      <c r="E121" s="24">
        <v>57892.96</v>
      </c>
      <c r="H121" s="5"/>
    </row>
    <row r="122" spans="1:5" ht="12.75">
      <c r="A122" s="30" t="s">
        <v>24</v>
      </c>
      <c r="B122" s="24">
        <f>E122+D122+C122</f>
        <v>15058.05</v>
      </c>
      <c r="C122" s="24">
        <v>8070.09</v>
      </c>
      <c r="D122" s="24">
        <v>6714.88</v>
      </c>
      <c r="E122" s="24">
        <v>273.08</v>
      </c>
    </row>
    <row r="123" spans="1:5" ht="12.75">
      <c r="A123" s="29" t="s">
        <v>2</v>
      </c>
      <c r="B123" s="24">
        <f>E123+D123+C123</f>
        <v>620479.32</v>
      </c>
      <c r="C123" s="24">
        <v>306367.04</v>
      </c>
      <c r="D123" s="24">
        <v>255946.24</v>
      </c>
      <c r="E123" s="24">
        <v>58166.04</v>
      </c>
    </row>
    <row r="124" spans="1:5" ht="12.75">
      <c r="A124" s="30" t="s">
        <v>24</v>
      </c>
      <c r="B124" s="24">
        <f>E124+D124+C124</f>
        <v>0</v>
      </c>
      <c r="C124" s="24"/>
      <c r="D124" s="24"/>
      <c r="E124" s="24"/>
    </row>
    <row r="125" spans="1:5" ht="12.75">
      <c r="A125" s="31" t="s">
        <v>20</v>
      </c>
      <c r="B125" s="38">
        <f>B120+B121+B122+B123+B124</f>
        <v>2002754.0100000002</v>
      </c>
      <c r="C125" s="25">
        <f>SUM(C120:C124)</f>
        <v>1064165.01</v>
      </c>
      <c r="D125" s="25">
        <f>SUM(D120:D124)</f>
        <v>764090.88</v>
      </c>
      <c r="E125" s="25">
        <f>SUM(E120:E124)</f>
        <v>174498.12</v>
      </c>
    </row>
    <row r="126" spans="1:5" ht="12.75">
      <c r="A126" s="32" t="s">
        <v>18</v>
      </c>
      <c r="B126" s="26">
        <f>B118+B125</f>
        <v>3967338.2800000003</v>
      </c>
      <c r="C126" s="26">
        <f>C118+C125</f>
        <v>2134665.88</v>
      </c>
      <c r="D126" s="26">
        <f>D118+D125</f>
        <v>1483676.1600000001</v>
      </c>
      <c r="E126" s="26">
        <f>E118+E125</f>
        <v>348996.24</v>
      </c>
    </row>
    <row r="127" spans="1:5" ht="12.75">
      <c r="A127" s="29" t="s">
        <v>21</v>
      </c>
      <c r="B127" s="27">
        <f>B113+B126</f>
        <v>7994394.07</v>
      </c>
      <c r="C127" s="27">
        <f>C113+C126</f>
        <v>4311426.43</v>
      </c>
      <c r="D127" s="27">
        <f>D113+D126</f>
        <v>3006548.48</v>
      </c>
      <c r="E127" s="27">
        <f>E113+E126</f>
        <v>676419.16</v>
      </c>
    </row>
    <row r="128" spans="1:6" ht="12.75">
      <c r="A128" s="16"/>
      <c r="B128" s="11"/>
      <c r="C128" s="20"/>
      <c r="D128" s="11"/>
      <c r="E128" s="20"/>
      <c r="F128" s="11"/>
    </row>
    <row r="129" spans="1:6" s="13" customFormat="1" ht="12.75">
      <c r="A129" s="19"/>
      <c r="B129" s="3"/>
      <c r="C129" s="20"/>
      <c r="D129" s="3"/>
      <c r="E129" s="17"/>
      <c r="F129" s="3"/>
    </row>
    <row r="130" spans="1:5" ht="12.75">
      <c r="A130" s="16"/>
      <c r="B130" s="3"/>
      <c r="C130" s="20"/>
      <c r="D130" s="3"/>
      <c r="E130" s="20"/>
    </row>
    <row r="131" spans="2:5" ht="12.75">
      <c r="B131" s="5"/>
      <c r="C131" s="15"/>
      <c r="D131" s="5"/>
      <c r="E131" s="15"/>
    </row>
    <row r="132" spans="1:5" ht="12.75">
      <c r="A132" s="21" t="s">
        <v>34</v>
      </c>
      <c r="B132" s="1"/>
      <c r="C132" s="41"/>
      <c r="E132" s="17"/>
    </row>
    <row r="133" spans="1:5" ht="12.75">
      <c r="A133" s="28"/>
      <c r="B133" s="37"/>
      <c r="C133" s="37"/>
      <c r="D133" s="37"/>
      <c r="E133" s="37"/>
    </row>
    <row r="134" spans="1:5" ht="38.25">
      <c r="A134" s="16" t="s">
        <v>13</v>
      </c>
      <c r="B134" s="45" t="s">
        <v>26</v>
      </c>
      <c r="C134" s="45" t="s">
        <v>25</v>
      </c>
      <c r="D134" s="45" t="s">
        <v>27</v>
      </c>
      <c r="E134" s="45" t="s">
        <v>28</v>
      </c>
    </row>
    <row r="135" spans="1:5" ht="12.75">
      <c r="A135" s="22">
        <v>0</v>
      </c>
      <c r="B135" s="22">
        <v>1</v>
      </c>
      <c r="C135" s="22">
        <v>2</v>
      </c>
      <c r="D135" s="22">
        <v>3</v>
      </c>
      <c r="E135" s="22">
        <v>4</v>
      </c>
    </row>
    <row r="136" spans="1:5" ht="12.75">
      <c r="A136" s="29" t="s">
        <v>5</v>
      </c>
      <c r="B136" s="24">
        <f aca="true" t="shared" si="4" ref="B136:B145">C136+D136+E136</f>
        <v>556536.5</v>
      </c>
      <c r="C136" s="24">
        <v>62578.92</v>
      </c>
      <c r="D136" s="24">
        <v>439440.17</v>
      </c>
      <c r="E136" s="24">
        <v>54517.41</v>
      </c>
    </row>
    <row r="137" spans="1:5" ht="12.75">
      <c r="A137" s="29" t="s">
        <v>6</v>
      </c>
      <c r="B137" s="24">
        <f t="shared" si="4"/>
        <v>532634.42</v>
      </c>
      <c r="C137" s="24">
        <v>62297.23</v>
      </c>
      <c r="D137" s="24">
        <v>425147.32</v>
      </c>
      <c r="E137" s="24">
        <v>45189.87</v>
      </c>
    </row>
    <row r="138" spans="1:5" ht="12.75">
      <c r="A138" s="29" t="s">
        <v>7</v>
      </c>
      <c r="B138" s="24">
        <f t="shared" si="4"/>
        <v>565581.43</v>
      </c>
      <c r="C138" s="24">
        <v>75044.7</v>
      </c>
      <c r="D138" s="24">
        <v>425147.32</v>
      </c>
      <c r="E138" s="24">
        <f>45984.5+19404.91</f>
        <v>65389.41</v>
      </c>
    </row>
    <row r="139" spans="1:5" ht="12.75">
      <c r="A139" s="30" t="s">
        <v>24</v>
      </c>
      <c r="B139" s="24">
        <f t="shared" si="4"/>
        <v>1117.16</v>
      </c>
      <c r="C139" s="24">
        <v>1117.16</v>
      </c>
      <c r="D139" s="24"/>
      <c r="E139" s="24"/>
    </row>
    <row r="140" spans="1:5" ht="12.75">
      <c r="A140" s="31" t="s">
        <v>14</v>
      </c>
      <c r="B140" s="38">
        <f t="shared" si="4"/>
        <v>1655869.51</v>
      </c>
      <c r="C140" s="25">
        <f>SUM(C136:C139)</f>
        <v>201038.00999999998</v>
      </c>
      <c r="D140" s="25">
        <f>SUM(D136:D139)</f>
        <v>1289734.81</v>
      </c>
      <c r="E140" s="25">
        <f>SUM(E136:E139)</f>
        <v>165096.69</v>
      </c>
    </row>
    <row r="141" spans="1:5" ht="12.75">
      <c r="A141" s="29" t="s">
        <v>8</v>
      </c>
      <c r="B141" s="24">
        <f t="shared" si="4"/>
        <v>419348.79000000004</v>
      </c>
      <c r="C141" s="24">
        <v>52754.57</v>
      </c>
      <c r="D141" s="24">
        <v>331074.38</v>
      </c>
      <c r="E141" s="24">
        <v>35519.84</v>
      </c>
    </row>
    <row r="142" spans="1:5" ht="12.75">
      <c r="A142" s="29" t="s">
        <v>9</v>
      </c>
      <c r="B142" s="24">
        <f t="shared" si="4"/>
        <v>526953.48</v>
      </c>
      <c r="C142" s="24">
        <v>49194.67</v>
      </c>
      <c r="D142" s="24">
        <f>231024.43+185287.31</f>
        <v>416311.74</v>
      </c>
      <c r="E142" s="24">
        <f>55292.18+6154.89</f>
        <v>61447.07</v>
      </c>
    </row>
    <row r="143" spans="1:5" ht="12.75">
      <c r="A143" s="29" t="s">
        <v>10</v>
      </c>
      <c r="B143" s="24">
        <f t="shared" si="4"/>
        <v>500607.27</v>
      </c>
      <c r="C143" s="24">
        <v>55636.59</v>
      </c>
      <c r="D143" s="24">
        <v>391883.96</v>
      </c>
      <c r="E143" s="24">
        <v>53086.72</v>
      </c>
    </row>
    <row r="144" spans="1:5" ht="12.75">
      <c r="A144" s="30" t="s">
        <v>24</v>
      </c>
      <c r="B144" s="24">
        <f t="shared" si="4"/>
        <v>47928.1</v>
      </c>
      <c r="C144" s="24">
        <v>18990.72</v>
      </c>
      <c r="D144" s="24">
        <v>29365.31</v>
      </c>
      <c r="E144" s="24">
        <v>-427.93</v>
      </c>
    </row>
    <row r="145" spans="1:5" ht="12.75">
      <c r="A145" s="31" t="s">
        <v>16</v>
      </c>
      <c r="B145" s="38">
        <f t="shared" si="4"/>
        <v>1494837.6400000001</v>
      </c>
      <c r="C145" s="25">
        <f>SUM(C141:C144)</f>
        <v>176576.55</v>
      </c>
      <c r="D145" s="25">
        <f>SUM(D141:D144)</f>
        <v>1168635.3900000001</v>
      </c>
      <c r="E145" s="25">
        <f>SUM(E141:E144)</f>
        <v>149625.7</v>
      </c>
    </row>
    <row r="146" spans="1:5" ht="12.75">
      <c r="A146" s="32" t="s">
        <v>15</v>
      </c>
      <c r="B146" s="26">
        <f>B140+B145</f>
        <v>3150707.1500000004</v>
      </c>
      <c r="C146" s="26">
        <f>C140+C145</f>
        <v>377614.55999999994</v>
      </c>
      <c r="D146" s="26">
        <f>D140+D145</f>
        <v>2458370.2</v>
      </c>
      <c r="E146" s="26">
        <f>E140+E145</f>
        <v>314722.39</v>
      </c>
    </row>
    <row r="147" spans="1:5" ht="12.75">
      <c r="A147" s="29" t="s">
        <v>3</v>
      </c>
      <c r="B147" s="24">
        <f>C147+D147+E147</f>
        <v>488111.54</v>
      </c>
      <c r="C147" s="24">
        <v>52337.17</v>
      </c>
      <c r="D147" s="24">
        <v>403058.37</v>
      </c>
      <c r="E147" s="24">
        <v>32716</v>
      </c>
    </row>
    <row r="148" spans="1:5" ht="12.75">
      <c r="A148" s="29" t="s">
        <v>4</v>
      </c>
      <c r="B148" s="24">
        <f>C148+D148+E148</f>
        <v>442666.6</v>
      </c>
      <c r="C148" s="24">
        <v>55020.19</v>
      </c>
      <c r="D148" s="24">
        <v>349005.41</v>
      </c>
      <c r="E148" s="24">
        <v>38641</v>
      </c>
    </row>
    <row r="149" spans="1:5" ht="12.75">
      <c r="A149" s="29" t="s">
        <v>11</v>
      </c>
      <c r="B149" s="24">
        <f>C149+D149+E149</f>
        <v>509843.02999999997</v>
      </c>
      <c r="C149" s="24">
        <v>55124.74</v>
      </c>
      <c r="D149" s="24">
        <v>407216.29</v>
      </c>
      <c r="E149" s="24">
        <v>47502</v>
      </c>
    </row>
    <row r="150" spans="1:5" ht="12.75">
      <c r="A150" s="30" t="s">
        <v>24</v>
      </c>
      <c r="B150" s="24">
        <f>C150+D150+E150</f>
        <v>2610.28</v>
      </c>
      <c r="C150" s="24">
        <v>2610.28</v>
      </c>
      <c r="D150" s="24"/>
      <c r="E150" s="24"/>
    </row>
    <row r="151" spans="1:5" ht="12.75">
      <c r="A151" s="31" t="s">
        <v>19</v>
      </c>
      <c r="B151" s="25">
        <f>SUM(B147:B150)</f>
        <v>1443231.45</v>
      </c>
      <c r="C151" s="25">
        <f>SUM(C147:C150)</f>
        <v>165092.38</v>
      </c>
      <c r="D151" s="25">
        <f>SUM(D147:D150)</f>
        <v>1159280.07</v>
      </c>
      <c r="E151" s="25">
        <f>SUM(E147:E150)</f>
        <v>118859</v>
      </c>
    </row>
    <row r="152" spans="1:5" ht="12.75">
      <c r="A152" s="32" t="s">
        <v>17</v>
      </c>
      <c r="B152" s="26">
        <f>B146+B151</f>
        <v>4593938.600000001</v>
      </c>
      <c r="C152" s="26">
        <f>C146+C151</f>
        <v>542706.94</v>
      </c>
      <c r="D152" s="26">
        <f>D146+D151</f>
        <v>3617650.2700000005</v>
      </c>
      <c r="E152" s="26">
        <f>E146+E151</f>
        <v>433581.39</v>
      </c>
    </row>
    <row r="153" spans="1:5" ht="12.75">
      <c r="A153" s="29" t="s">
        <v>0</v>
      </c>
      <c r="B153" s="24">
        <f aca="true" t="shared" si="5" ref="B153:B158">C153+D153+E153</f>
        <v>533545.63</v>
      </c>
      <c r="C153" s="24">
        <v>54686.14</v>
      </c>
      <c r="D153" s="24">
        <v>422808.49</v>
      </c>
      <c r="E153" s="24">
        <v>56051</v>
      </c>
    </row>
    <row r="154" spans="1:5" ht="12.75">
      <c r="A154" s="29" t="s">
        <v>1</v>
      </c>
      <c r="B154" s="24">
        <f t="shared" si="5"/>
        <v>595969.52</v>
      </c>
      <c r="C154" s="24">
        <v>90767.81</v>
      </c>
      <c r="D154" s="24">
        <v>450354.71</v>
      </c>
      <c r="E154" s="24">
        <v>54847</v>
      </c>
    </row>
    <row r="155" spans="1:5" ht="12.75">
      <c r="A155" s="30" t="s">
        <v>24</v>
      </c>
      <c r="B155" s="24">
        <f t="shared" si="5"/>
        <v>31674.41</v>
      </c>
      <c r="C155" s="24">
        <v>595.19</v>
      </c>
      <c r="D155" s="24">
        <v>27546.22</v>
      </c>
      <c r="E155" s="24">
        <v>3533</v>
      </c>
    </row>
    <row r="156" spans="1:5" ht="12.75">
      <c r="A156" s="29" t="s">
        <v>2</v>
      </c>
      <c r="B156" s="24">
        <f t="shared" si="5"/>
        <v>544821.5700000001</v>
      </c>
      <c r="C156" s="24">
        <v>64520.93</v>
      </c>
      <c r="D156" s="24">
        <v>434502.64</v>
      </c>
      <c r="E156" s="24">
        <v>45798</v>
      </c>
    </row>
    <row r="157" spans="1:5" ht="12.75">
      <c r="A157" s="30" t="s">
        <v>24</v>
      </c>
      <c r="B157" s="24">
        <f t="shared" si="5"/>
        <v>0</v>
      </c>
      <c r="C157" s="24"/>
      <c r="D157" s="24"/>
      <c r="E157" s="24"/>
    </row>
    <row r="158" spans="1:5" ht="12.75">
      <c r="A158" s="31" t="s">
        <v>20</v>
      </c>
      <c r="B158" s="38">
        <f t="shared" si="5"/>
        <v>1706011.1300000001</v>
      </c>
      <c r="C158" s="25">
        <f>SUM(C153:C157)</f>
        <v>210570.07</v>
      </c>
      <c r="D158" s="25">
        <f>SUM(D153:D157)</f>
        <v>1335212.06</v>
      </c>
      <c r="E158" s="25">
        <f>SUM(E153:E157)</f>
        <v>160229</v>
      </c>
    </row>
    <row r="159" spans="1:5" ht="12.75">
      <c r="A159" s="32" t="s">
        <v>18</v>
      </c>
      <c r="B159" s="26">
        <f>B151+B158</f>
        <v>3149242.58</v>
      </c>
      <c r="C159" s="26">
        <f>C151+C158</f>
        <v>375662.45</v>
      </c>
      <c r="D159" s="26">
        <f>D151+D158</f>
        <v>2494492.13</v>
      </c>
      <c r="E159" s="26">
        <f>E151+E158</f>
        <v>279088</v>
      </c>
    </row>
    <row r="160" spans="1:5" ht="12.75">
      <c r="A160" s="23" t="s">
        <v>21</v>
      </c>
      <c r="B160" s="27">
        <f>B146+B159</f>
        <v>6299949.73</v>
      </c>
      <c r="C160" s="27">
        <f>C146+C159</f>
        <v>753277.01</v>
      </c>
      <c r="D160" s="27">
        <f>D146+D159</f>
        <v>4952862.33</v>
      </c>
      <c r="E160" s="27">
        <f>E146+E159</f>
        <v>593810.39</v>
      </c>
    </row>
    <row r="161" spans="1:5" s="14" customFormat="1" ht="12.75">
      <c r="A161" s="16"/>
      <c r="B161" s="11"/>
      <c r="C161" s="20"/>
      <c r="D161" s="11"/>
      <c r="E161" s="20"/>
    </row>
    <row r="162" spans="1:5" s="4" customFormat="1" ht="12.75">
      <c r="A162" s="19"/>
      <c r="B162" s="3"/>
      <c r="C162" s="20"/>
      <c r="D162" s="3"/>
      <c r="E162" s="20"/>
    </row>
    <row r="163" spans="1:5" ht="12.75">
      <c r="A163" s="19"/>
      <c r="B163" s="3"/>
      <c r="C163" s="20"/>
      <c r="D163" s="3"/>
      <c r="E163" s="20"/>
    </row>
    <row r="164" spans="1:5" ht="12.75">
      <c r="A164" s="34" t="s">
        <v>35</v>
      </c>
      <c r="B164" s="3"/>
      <c r="C164" s="20"/>
      <c r="E164" s="15"/>
    </row>
    <row r="165" spans="1:5" ht="12.75">
      <c r="A165" s="28"/>
      <c r="B165" s="37"/>
      <c r="C165" s="37"/>
      <c r="D165" s="37"/>
      <c r="E165" s="37"/>
    </row>
    <row r="166" spans="1:5" ht="38.25">
      <c r="A166" s="16" t="s">
        <v>13</v>
      </c>
      <c r="B166" s="45" t="s">
        <v>26</v>
      </c>
      <c r="C166" s="45" t="s">
        <v>25</v>
      </c>
      <c r="D166" s="45" t="s">
        <v>27</v>
      </c>
      <c r="E166" s="45" t="s">
        <v>28</v>
      </c>
    </row>
    <row r="167" spans="1:5" ht="12.75">
      <c r="A167" s="22">
        <v>0</v>
      </c>
      <c r="B167" s="22">
        <v>1</v>
      </c>
      <c r="C167" s="22">
        <v>2</v>
      </c>
      <c r="D167" s="22">
        <v>3</v>
      </c>
      <c r="E167" s="22">
        <v>4</v>
      </c>
    </row>
    <row r="168" spans="1:5" ht="12.75">
      <c r="A168" s="29" t="s">
        <v>5</v>
      </c>
      <c r="B168" s="47">
        <f aca="true" t="shared" si="6" ref="B168:B177">C168+D168+E168</f>
        <v>539534.4199999999</v>
      </c>
      <c r="C168" s="24"/>
      <c r="D168" s="24">
        <v>102775.5</v>
      </c>
      <c r="E168" s="24">
        <f>353438.93+83319.99</f>
        <v>436758.92</v>
      </c>
    </row>
    <row r="169" spans="1:5" ht="12.75">
      <c r="A169" s="29" t="s">
        <v>6</v>
      </c>
      <c r="B169" s="47">
        <f t="shared" si="6"/>
        <v>530380.86</v>
      </c>
      <c r="C169" s="24"/>
      <c r="D169" s="24">
        <v>124654.37</v>
      </c>
      <c r="E169" s="24">
        <f>353177.57+52548.92</f>
        <v>405726.49</v>
      </c>
    </row>
    <row r="170" spans="1:5" ht="12.75">
      <c r="A170" s="29" t="s">
        <v>7</v>
      </c>
      <c r="B170" s="47">
        <f t="shared" si="6"/>
        <v>631287.76</v>
      </c>
      <c r="C170" s="24"/>
      <c r="D170" s="24">
        <v>176593.69</v>
      </c>
      <c r="E170" s="24">
        <f>295851.54+158842.53</f>
        <v>454694.06999999995</v>
      </c>
    </row>
    <row r="171" spans="1:5" ht="12.75">
      <c r="A171" s="30" t="s">
        <v>24</v>
      </c>
      <c r="B171" s="47">
        <f t="shared" si="6"/>
        <v>-317.55999999999995</v>
      </c>
      <c r="C171" s="24"/>
      <c r="D171" s="24">
        <v>-1493.83</v>
      </c>
      <c r="E171" s="24">
        <v>1176.27</v>
      </c>
    </row>
    <row r="172" spans="1:5" ht="12.75">
      <c r="A172" s="31" t="s">
        <v>14</v>
      </c>
      <c r="B172" s="38">
        <f t="shared" si="6"/>
        <v>1700885.48</v>
      </c>
      <c r="C172" s="25">
        <f>SUM(C168:C171)</f>
        <v>0</v>
      </c>
      <c r="D172" s="25">
        <f>SUM(D168:D171)</f>
        <v>402529.73</v>
      </c>
      <c r="E172" s="25">
        <f>SUM(E168:E171)</f>
        <v>1298355.75</v>
      </c>
    </row>
    <row r="173" spans="1:5" ht="12.75">
      <c r="A173" s="29" t="s">
        <v>8</v>
      </c>
      <c r="B173" s="47">
        <f t="shared" si="6"/>
        <v>469842.83999999997</v>
      </c>
      <c r="C173" s="24"/>
      <c r="D173" s="24">
        <v>61132.12</v>
      </c>
      <c r="E173" s="24">
        <f>353403.99+55306.73</f>
        <v>408710.72</v>
      </c>
    </row>
    <row r="174" spans="1:7" ht="12.75">
      <c r="A174" s="29" t="s">
        <v>9</v>
      </c>
      <c r="B174" s="47">
        <f t="shared" si="6"/>
        <v>629325.5900000001</v>
      </c>
      <c r="C174" s="24"/>
      <c r="D174" s="24">
        <v>163466.37</v>
      </c>
      <c r="E174" s="24">
        <f>353365.39+112493.83</f>
        <v>465859.22000000003</v>
      </c>
      <c r="F174" s="5"/>
      <c r="G174" s="5"/>
    </row>
    <row r="175" spans="1:7" ht="12.75">
      <c r="A175" s="29" t="s">
        <v>10</v>
      </c>
      <c r="B175" s="47">
        <f t="shared" si="6"/>
        <v>531336.71</v>
      </c>
      <c r="C175" s="24"/>
      <c r="D175" s="24">
        <v>101534.48</v>
      </c>
      <c r="E175" s="24">
        <f>353336.81+76465.42</f>
        <v>429802.23</v>
      </c>
      <c r="G175" s="5"/>
    </row>
    <row r="176" spans="1:5" ht="12.75">
      <c r="A176" s="30" t="s">
        <v>24</v>
      </c>
      <c r="B176" s="47">
        <f t="shared" si="6"/>
        <v>234.21000000000004</v>
      </c>
      <c r="C176" s="24"/>
      <c r="D176" s="24">
        <v>-119.51</v>
      </c>
      <c r="E176" s="24">
        <v>353.72</v>
      </c>
    </row>
    <row r="177" spans="1:5" ht="12.75">
      <c r="A177" s="31" t="s">
        <v>16</v>
      </c>
      <c r="B177" s="38">
        <f t="shared" si="6"/>
        <v>1630739.3499999999</v>
      </c>
      <c r="C177" s="25">
        <f>SUM(C173:C176)</f>
        <v>0</v>
      </c>
      <c r="D177" s="25">
        <f>SUM(D173:D176)</f>
        <v>326013.45999999996</v>
      </c>
      <c r="E177" s="24">
        <f>SUM(E173:E176)</f>
        <v>1304725.89</v>
      </c>
    </row>
    <row r="178" spans="1:5" ht="12.75">
      <c r="A178" s="32" t="s">
        <v>15</v>
      </c>
      <c r="B178" s="26">
        <f>B172+B177</f>
        <v>3331624.83</v>
      </c>
      <c r="C178" s="24">
        <f>C172+C177</f>
        <v>0</v>
      </c>
      <c r="D178" s="26">
        <f>D172+D177</f>
        <v>728543.19</v>
      </c>
      <c r="E178" s="26">
        <f>E172+E177</f>
        <v>2603081.6399999997</v>
      </c>
    </row>
    <row r="179" spans="1:5" ht="12.75">
      <c r="A179" s="29" t="s">
        <v>3</v>
      </c>
      <c r="B179" s="47">
        <f>C179+D179+E179</f>
        <v>517174.01</v>
      </c>
      <c r="C179" s="24"/>
      <c r="D179" s="24">
        <v>124351.01</v>
      </c>
      <c r="E179" s="24">
        <f>347125+45698</f>
        <v>392823</v>
      </c>
    </row>
    <row r="180" spans="1:5" ht="12.75">
      <c r="A180" s="29" t="s">
        <v>4</v>
      </c>
      <c r="B180" s="47">
        <f>C180+D180+E180</f>
        <v>529809.75</v>
      </c>
      <c r="C180" s="24"/>
      <c r="D180" s="24">
        <v>116757.75</v>
      </c>
      <c r="E180" s="24">
        <v>413052</v>
      </c>
    </row>
    <row r="181" spans="1:8" ht="12.75">
      <c r="A181" s="29" t="s">
        <v>11</v>
      </c>
      <c r="B181" s="47">
        <f>C181+D181+E181</f>
        <v>532099.41</v>
      </c>
      <c r="C181" s="24"/>
      <c r="D181" s="24">
        <v>103915.41</v>
      </c>
      <c r="E181" s="24">
        <v>428184</v>
      </c>
      <c r="F181" s="5"/>
      <c r="G181" s="5"/>
      <c r="H181" s="5"/>
    </row>
    <row r="182" spans="1:5" ht="12.75">
      <c r="A182" s="30" t="s">
        <v>24</v>
      </c>
      <c r="B182" s="47">
        <f>C182+D182+E182</f>
        <v>78.56</v>
      </c>
      <c r="C182" s="24"/>
      <c r="D182" s="24">
        <v>50.56</v>
      </c>
      <c r="E182" s="24">
        <v>28</v>
      </c>
    </row>
    <row r="183" spans="1:7" ht="12.75">
      <c r="A183" s="31" t="s">
        <v>19</v>
      </c>
      <c r="B183" s="25">
        <f>SUM(B179:B182)</f>
        <v>1579161.73</v>
      </c>
      <c r="C183" s="25">
        <f>SUM(C179:C182)</f>
        <v>0</v>
      </c>
      <c r="D183" s="25">
        <f>SUM(D179:D182)</f>
        <v>345074.73000000004</v>
      </c>
      <c r="E183" s="25">
        <f>SUM(E179:E182)</f>
        <v>1234087</v>
      </c>
      <c r="F183" s="5"/>
      <c r="G183" s="5"/>
    </row>
    <row r="184" spans="1:5" ht="12.75">
      <c r="A184" s="32" t="s">
        <v>17</v>
      </c>
      <c r="B184" s="26">
        <f>B178+B183</f>
        <v>4910786.5600000005</v>
      </c>
      <c r="C184" s="26">
        <f>C178+C183</f>
        <v>0</v>
      </c>
      <c r="D184" s="26">
        <f>D178+D183</f>
        <v>1073617.92</v>
      </c>
      <c r="E184" s="26">
        <f>E178+E183</f>
        <v>3837168.6399999997</v>
      </c>
    </row>
    <row r="185" spans="1:5" ht="12.75">
      <c r="A185" s="29" t="s">
        <v>0</v>
      </c>
      <c r="B185" s="47">
        <f aca="true" t="shared" si="7" ref="B185:B190">C185+D185+E185</f>
        <v>552866</v>
      </c>
      <c r="C185" s="24"/>
      <c r="D185" s="24">
        <v>119249</v>
      </c>
      <c r="E185" s="24">
        <v>433617</v>
      </c>
    </row>
    <row r="186" spans="1:5" ht="12.75">
      <c r="A186" s="29" t="s">
        <v>1</v>
      </c>
      <c r="B186" s="47">
        <f t="shared" si="7"/>
        <v>616199.86</v>
      </c>
      <c r="C186" s="24"/>
      <c r="D186" s="24">
        <v>181357.86</v>
      </c>
      <c r="E186" s="24">
        <v>434842</v>
      </c>
    </row>
    <row r="187" spans="1:5" ht="12.75">
      <c r="A187" s="30" t="s">
        <v>24</v>
      </c>
      <c r="B187" s="47">
        <f t="shared" si="7"/>
        <v>50660.81</v>
      </c>
      <c r="C187" s="24"/>
      <c r="D187" s="24">
        <v>36883.81</v>
      </c>
      <c r="E187" s="24">
        <v>13777</v>
      </c>
    </row>
    <row r="188" spans="1:5" ht="12.75">
      <c r="A188" s="29" t="s">
        <v>2</v>
      </c>
      <c r="B188" s="47">
        <f t="shared" si="7"/>
        <v>295175.04</v>
      </c>
      <c r="C188" s="24"/>
      <c r="D188" s="24">
        <v>84468.04</v>
      </c>
      <c r="E188" s="24">
        <v>210707</v>
      </c>
    </row>
    <row r="189" spans="1:5" ht="12.75">
      <c r="A189" s="30" t="s">
        <v>24</v>
      </c>
      <c r="B189" s="47">
        <f t="shared" si="7"/>
        <v>0</v>
      </c>
      <c r="C189" s="24"/>
      <c r="D189" s="24"/>
      <c r="E189" s="24"/>
    </row>
    <row r="190" spans="1:5" ht="12.75">
      <c r="A190" s="31" t="s">
        <v>20</v>
      </c>
      <c r="B190" s="24">
        <f t="shared" si="7"/>
        <v>1514901.71</v>
      </c>
      <c r="C190" s="25">
        <f>SUM(C185:C189)</f>
        <v>0</v>
      </c>
      <c r="D190" s="25">
        <f>SUM(D185:D189)</f>
        <v>421958.70999999996</v>
      </c>
      <c r="E190" s="25">
        <f>SUM(E185:E189)</f>
        <v>1092943</v>
      </c>
    </row>
    <row r="191" spans="1:5" ht="12.75">
      <c r="A191" s="32" t="s">
        <v>18</v>
      </c>
      <c r="B191" s="26">
        <f>B183+B190</f>
        <v>3094063.44</v>
      </c>
      <c r="C191" s="26">
        <f>C183+C190</f>
        <v>0</v>
      </c>
      <c r="D191" s="26">
        <f>D183+D190</f>
        <v>767033.44</v>
      </c>
      <c r="E191" s="26">
        <f>E183+E190</f>
        <v>2327030</v>
      </c>
    </row>
    <row r="192" spans="1:5" ht="12.75">
      <c r="A192" s="29" t="s">
        <v>21</v>
      </c>
      <c r="B192" s="27">
        <f>B178+B191</f>
        <v>6425688.27</v>
      </c>
      <c r="C192" s="27">
        <f>C178+C191</f>
        <v>0</v>
      </c>
      <c r="D192" s="27">
        <f>D178+D191</f>
        <v>1495576.63</v>
      </c>
      <c r="E192" s="27">
        <f>E178+E191</f>
        <v>4930111.64</v>
      </c>
    </row>
    <row r="193" spans="1:5" ht="12.75">
      <c r="A193" s="16"/>
      <c r="B193" s="11"/>
      <c r="C193" s="20"/>
      <c r="D193" s="11"/>
      <c r="E193" s="20"/>
    </row>
    <row r="194" spans="1:5" ht="12.75">
      <c r="A194" s="19"/>
      <c r="B194" s="3"/>
      <c r="C194" s="20"/>
      <c r="D194" s="3"/>
      <c r="E194" s="20"/>
    </row>
    <row r="195" spans="1:5" ht="12.75">
      <c r="A195" s="19"/>
      <c r="B195" s="3"/>
      <c r="C195" s="20"/>
      <c r="E195" s="15"/>
    </row>
    <row r="196" spans="1:5" ht="12.75">
      <c r="A196" s="19"/>
      <c r="B196" s="3"/>
      <c r="C196" s="20"/>
      <c r="E196" s="15"/>
    </row>
    <row r="197" spans="1:5" ht="12.75">
      <c r="A197" s="33" t="s">
        <v>36</v>
      </c>
      <c r="B197" s="3"/>
      <c r="C197" s="20"/>
      <c r="E197" s="15"/>
    </row>
    <row r="198" spans="1:5" ht="12.75">
      <c r="A198" s="28"/>
      <c r="B198" s="35"/>
      <c r="C198" s="36"/>
      <c r="D198" s="37"/>
      <c r="E198" s="48"/>
    </row>
    <row r="199" spans="1:5" ht="38.25">
      <c r="A199" s="16" t="s">
        <v>13</v>
      </c>
      <c r="B199" s="45" t="s">
        <v>26</v>
      </c>
      <c r="C199" s="45" t="s">
        <v>25</v>
      </c>
      <c r="D199" s="45" t="s">
        <v>27</v>
      </c>
      <c r="E199" s="49" t="s">
        <v>28</v>
      </c>
    </row>
    <row r="200" spans="1:5" ht="12.75">
      <c r="A200" s="22">
        <v>0</v>
      </c>
      <c r="B200" s="22">
        <v>10</v>
      </c>
      <c r="C200" s="22">
        <v>11</v>
      </c>
      <c r="D200" s="22">
        <v>12</v>
      </c>
      <c r="E200" s="48"/>
    </row>
    <row r="201" spans="1:5" ht="12.75">
      <c r="A201" s="29" t="s">
        <v>5</v>
      </c>
      <c r="B201" s="39">
        <f>C201+D201+E201</f>
        <v>199342.87</v>
      </c>
      <c r="C201" s="24"/>
      <c r="D201" s="24"/>
      <c r="E201" s="24">
        <f>187029.72+12313.15</f>
        <v>199342.87</v>
      </c>
    </row>
    <row r="202" spans="1:5" ht="12.75">
      <c r="A202" s="29" t="s">
        <v>6</v>
      </c>
      <c r="B202" s="39">
        <f>C202+D202+E202</f>
        <v>190530.19999999998</v>
      </c>
      <c r="C202" s="24"/>
      <c r="D202" s="24"/>
      <c r="E202" s="24">
        <f>187049.8+3480.4</f>
        <v>190530.19999999998</v>
      </c>
    </row>
    <row r="203" spans="1:5" ht="12.75">
      <c r="A203" s="29" t="s">
        <v>7</v>
      </c>
      <c r="B203" s="39">
        <f>C203+D203+E203</f>
        <v>206198.98</v>
      </c>
      <c r="C203" s="24"/>
      <c r="D203" s="24"/>
      <c r="E203" s="24">
        <f>156261+49937.98</f>
        <v>206198.98</v>
      </c>
    </row>
    <row r="204" spans="1:5" ht="12.75">
      <c r="A204" s="30" t="s">
        <v>24</v>
      </c>
      <c r="B204" s="39">
        <f>C204+D204+E204</f>
        <v>797.47</v>
      </c>
      <c r="C204" s="24"/>
      <c r="D204" s="24"/>
      <c r="E204" s="24">
        <v>797.47</v>
      </c>
    </row>
    <row r="205" spans="1:5" ht="12.75">
      <c r="A205" s="31" t="s">
        <v>14</v>
      </c>
      <c r="B205" s="25">
        <f>SUM(B201:B204)</f>
        <v>596869.5199999999</v>
      </c>
      <c r="C205" s="25">
        <f>SUM(C201:C204)</f>
        <v>0</v>
      </c>
      <c r="D205" s="25">
        <f>SUM(D201:D204)</f>
        <v>0</v>
      </c>
      <c r="E205" s="25">
        <f>SUM(E201:E204)</f>
        <v>596869.5199999999</v>
      </c>
    </row>
    <row r="206" spans="1:5" ht="12.75">
      <c r="A206" s="29" t="s">
        <v>8</v>
      </c>
      <c r="B206" s="39">
        <f>C206+D206+E206</f>
        <v>164441.2</v>
      </c>
      <c r="C206" s="24"/>
      <c r="D206" s="24"/>
      <c r="E206" s="24">
        <v>164441.2</v>
      </c>
    </row>
    <row r="207" spans="1:6" ht="12.75">
      <c r="A207" s="29" t="s">
        <v>9</v>
      </c>
      <c r="B207" s="39">
        <f>C207+D207+E207</f>
        <v>191642.81</v>
      </c>
      <c r="C207" s="24"/>
      <c r="D207" s="24"/>
      <c r="E207" s="24">
        <f>187075.06+4567.75</f>
        <v>191642.81</v>
      </c>
      <c r="F207" s="5"/>
    </row>
    <row r="208" spans="1:5" ht="12.75">
      <c r="A208" s="29" t="s">
        <v>10</v>
      </c>
      <c r="B208" s="39">
        <f>C208+D208+E208</f>
        <v>157189.64</v>
      </c>
      <c r="C208" s="24"/>
      <c r="D208" s="24"/>
      <c r="E208" s="24">
        <v>157189.64</v>
      </c>
    </row>
    <row r="209" spans="1:5" ht="12.75">
      <c r="A209" s="30" t="s">
        <v>24</v>
      </c>
      <c r="B209" s="39">
        <f>C209+D209+E209</f>
        <v>-438.32</v>
      </c>
      <c r="C209" s="24"/>
      <c r="D209" s="24"/>
      <c r="E209" s="24">
        <v>-438.32</v>
      </c>
    </row>
    <row r="210" spans="1:5" ht="12.75">
      <c r="A210" s="31" t="s">
        <v>16</v>
      </c>
      <c r="B210" s="25">
        <f>SUM(B206:B209)</f>
        <v>512835.33</v>
      </c>
      <c r="C210" s="25">
        <f>SUM(C206:C209)</f>
        <v>0</v>
      </c>
      <c r="D210" s="25">
        <f>SUM(D206:D209)</f>
        <v>0</v>
      </c>
      <c r="E210" s="25">
        <f>SUM(E206:E209)</f>
        <v>512835.33</v>
      </c>
    </row>
    <row r="211" spans="1:5" ht="12.75">
      <c r="A211" s="32" t="s">
        <v>15</v>
      </c>
      <c r="B211" s="26">
        <f>B205+B210</f>
        <v>1109704.8499999999</v>
      </c>
      <c r="C211" s="26">
        <f>C205+C210</f>
        <v>0</v>
      </c>
      <c r="D211" s="26">
        <f>D205+D210</f>
        <v>0</v>
      </c>
      <c r="E211" s="26">
        <f>E205+E210</f>
        <v>1109704.8499999999</v>
      </c>
    </row>
    <row r="212" spans="1:5" ht="12.75">
      <c r="A212" s="29" t="s">
        <v>3</v>
      </c>
      <c r="B212" s="39">
        <f>C212+D212+E212</f>
        <v>97844</v>
      </c>
      <c r="C212" s="24"/>
      <c r="D212" s="24"/>
      <c r="E212" s="24">
        <v>97844</v>
      </c>
    </row>
    <row r="213" spans="1:5" ht="12.75">
      <c r="A213" s="29" t="s">
        <v>4</v>
      </c>
      <c r="B213" s="39">
        <f>C213+D213+E213</f>
        <v>114412</v>
      </c>
      <c r="C213" s="24"/>
      <c r="D213" s="24"/>
      <c r="E213" s="24">
        <v>114412</v>
      </c>
    </row>
    <row r="214" spans="1:5" ht="12.75">
      <c r="A214" s="29" t="s">
        <v>11</v>
      </c>
      <c r="B214" s="39">
        <f>C214+D214+E214</f>
        <v>120479</v>
      </c>
      <c r="C214" s="24"/>
      <c r="D214" s="24"/>
      <c r="E214" s="39">
        <v>120479</v>
      </c>
    </row>
    <row r="215" spans="1:5" ht="12.75">
      <c r="A215" s="30" t="s">
        <v>24</v>
      </c>
      <c r="B215" s="39">
        <f>C215+D215+E215</f>
        <v>788</v>
      </c>
      <c r="C215" s="24"/>
      <c r="D215" s="24"/>
      <c r="E215" s="39">
        <v>788</v>
      </c>
    </row>
    <row r="216" spans="1:6" ht="12.75">
      <c r="A216" s="31" t="s">
        <v>19</v>
      </c>
      <c r="B216" s="25">
        <f>SUM(B212:B215)</f>
        <v>333523</v>
      </c>
      <c r="C216" s="25">
        <f>SUM(C212:C215)</f>
        <v>0</v>
      </c>
      <c r="D216" s="25">
        <f>SUM(D212:D215)</f>
        <v>0</v>
      </c>
      <c r="E216" s="25">
        <f>SUM(E212:E215)</f>
        <v>333523</v>
      </c>
      <c r="F216" s="5"/>
    </row>
    <row r="217" spans="1:5" ht="12.75">
      <c r="A217" s="32" t="s">
        <v>17</v>
      </c>
      <c r="B217" s="26">
        <f>B211+B216</f>
        <v>1443227.8499999999</v>
      </c>
      <c r="C217" s="26">
        <f>C211+C216</f>
        <v>0</v>
      </c>
      <c r="D217" s="26">
        <f>D211+D216</f>
        <v>0</v>
      </c>
      <c r="E217" s="26">
        <f>E211+E216</f>
        <v>1443227.8499999999</v>
      </c>
    </row>
    <row r="218" spans="1:5" ht="12.75">
      <c r="A218" s="29" t="s">
        <v>0</v>
      </c>
      <c r="B218" s="24">
        <f>C218+D218+E218</f>
        <v>120221</v>
      </c>
      <c r="C218" s="24"/>
      <c r="D218" s="24"/>
      <c r="E218" s="39">
        <v>120221</v>
      </c>
    </row>
    <row r="219" spans="1:5" ht="12.75">
      <c r="A219" s="29" t="s">
        <v>1</v>
      </c>
      <c r="B219" s="24">
        <f>C219+D219+E219</f>
        <v>114597</v>
      </c>
      <c r="C219" s="24"/>
      <c r="D219" s="24"/>
      <c r="E219" s="39">
        <v>114597</v>
      </c>
    </row>
    <row r="220" spans="1:5" ht="12.75">
      <c r="A220" s="30" t="s">
        <v>24</v>
      </c>
      <c r="B220" s="24">
        <f>C220+D220+E220</f>
        <v>-513</v>
      </c>
      <c r="C220" s="24"/>
      <c r="D220" s="24"/>
      <c r="E220" s="39">
        <v>-513</v>
      </c>
    </row>
    <row r="221" spans="1:6" ht="12.75">
      <c r="A221" s="29" t="s">
        <v>2</v>
      </c>
      <c r="B221" s="24">
        <f>C221+D221+E221</f>
        <v>63340</v>
      </c>
      <c r="C221" s="24"/>
      <c r="D221" s="24"/>
      <c r="E221" s="39">
        <v>63340</v>
      </c>
      <c r="F221" s="5"/>
    </row>
    <row r="222" spans="1:5" ht="12.75">
      <c r="A222" s="30" t="s">
        <v>24</v>
      </c>
      <c r="B222" s="24">
        <f>C222+D222+E222</f>
        <v>0</v>
      </c>
      <c r="C222" s="24"/>
      <c r="D222" s="24"/>
      <c r="E222" s="39"/>
    </row>
    <row r="223" spans="1:5" ht="12.75">
      <c r="A223" s="31" t="s">
        <v>20</v>
      </c>
      <c r="B223" s="25">
        <f>SUM(B218:B222)</f>
        <v>297645</v>
      </c>
      <c r="C223" s="25">
        <f>SUM(C218:C222)</f>
        <v>0</v>
      </c>
      <c r="D223" s="25">
        <f>SUM(D218:D222)</f>
        <v>0</v>
      </c>
      <c r="E223" s="25">
        <f>SUM(E218:E222)</f>
        <v>297645</v>
      </c>
    </row>
    <row r="224" spans="1:5" ht="12.75">
      <c r="A224" s="32" t="s">
        <v>18</v>
      </c>
      <c r="B224" s="26">
        <f>B216+B223</f>
        <v>631168</v>
      </c>
      <c r="C224" s="26">
        <f>C216+C223</f>
        <v>0</v>
      </c>
      <c r="D224" s="26">
        <f>D216+D223</f>
        <v>0</v>
      </c>
      <c r="E224" s="26">
        <f>E216+E223</f>
        <v>631168</v>
      </c>
    </row>
    <row r="225" spans="1:5" ht="13.5" customHeight="1">
      <c r="A225" s="29" t="s">
        <v>21</v>
      </c>
      <c r="B225" s="27">
        <f>B211+B224</f>
        <v>1740872.8499999999</v>
      </c>
      <c r="C225" s="27">
        <f>C211+C224</f>
        <v>0</v>
      </c>
      <c r="D225" s="27">
        <f>D211+D224</f>
        <v>0</v>
      </c>
      <c r="E225" s="27">
        <f>E211+E224</f>
        <v>1740872.8499999999</v>
      </c>
    </row>
    <row r="226" spans="4:5" ht="13.5" customHeight="1">
      <c r="D226" s="19"/>
      <c r="E226" s="17"/>
    </row>
    <row r="227" spans="4:5" ht="13.5" customHeight="1">
      <c r="D227" s="19"/>
      <c r="E227" s="17"/>
    </row>
    <row r="228" spans="1:5" ht="12.75">
      <c r="A228" s="33" t="s">
        <v>37</v>
      </c>
      <c r="B228" s="3"/>
      <c r="C228" s="20"/>
      <c r="E228" s="15"/>
    </row>
    <row r="229" spans="1:5" ht="12.75">
      <c r="A229" s="28"/>
      <c r="B229" s="35"/>
      <c r="C229" s="36" t="s">
        <v>22</v>
      </c>
      <c r="D229" s="37"/>
      <c r="E229" s="48"/>
    </row>
    <row r="230" spans="1:5" ht="38.25">
      <c r="A230" s="16" t="s">
        <v>13</v>
      </c>
      <c r="B230" s="45" t="s">
        <v>26</v>
      </c>
      <c r="C230" s="45" t="s">
        <v>25</v>
      </c>
      <c r="D230" s="45" t="s">
        <v>27</v>
      </c>
      <c r="E230" s="49" t="s">
        <v>28</v>
      </c>
    </row>
    <row r="231" spans="1:5" ht="12.75">
      <c r="A231" s="22">
        <v>0</v>
      </c>
      <c r="B231" s="22">
        <v>10</v>
      </c>
      <c r="C231" s="22">
        <v>11</v>
      </c>
      <c r="D231" s="22">
        <v>12</v>
      </c>
      <c r="E231" s="48"/>
    </row>
    <row r="232" spans="1:5" ht="12.75">
      <c r="A232" s="29" t="s">
        <v>5</v>
      </c>
      <c r="B232" s="39">
        <f>C232+D232+E232</f>
        <v>1077.45</v>
      </c>
      <c r="C232" s="24"/>
      <c r="D232" s="24"/>
      <c r="E232" s="24">
        <v>1077.45</v>
      </c>
    </row>
    <row r="233" spans="1:5" ht="12.75">
      <c r="A233" s="29" t="s">
        <v>6</v>
      </c>
      <c r="B233" s="39">
        <f>C233+D233+E233</f>
        <v>20840.54</v>
      </c>
      <c r="C233" s="24"/>
      <c r="D233" s="24"/>
      <c r="E233" s="24">
        <f>13309.65+7530.89</f>
        <v>20840.54</v>
      </c>
    </row>
    <row r="234" spans="1:5" ht="12.75">
      <c r="A234" s="29" t="s">
        <v>7</v>
      </c>
      <c r="B234" s="39">
        <f>C234+D234+E234</f>
        <v>122397.1</v>
      </c>
      <c r="C234" s="24"/>
      <c r="D234" s="24"/>
      <c r="E234" s="24">
        <f>20814.69+101582.41</f>
        <v>122397.1</v>
      </c>
    </row>
    <row r="235" spans="1:5" ht="12.75">
      <c r="A235" s="30" t="s">
        <v>24</v>
      </c>
      <c r="B235" s="39">
        <f>C235+D235+E235</f>
        <v>354.43</v>
      </c>
      <c r="C235" s="24"/>
      <c r="D235" s="24"/>
      <c r="E235" s="24">
        <v>354.43</v>
      </c>
    </row>
    <row r="236" spans="1:5" ht="12.75">
      <c r="A236" s="31" t="s">
        <v>14</v>
      </c>
      <c r="B236" s="25">
        <f>SUM(B232:B235)</f>
        <v>144669.52</v>
      </c>
      <c r="C236" s="25">
        <f>SUM(C232:C235)</f>
        <v>0</v>
      </c>
      <c r="D236" s="25">
        <f>SUM(D232:D235)</f>
        <v>0</v>
      </c>
      <c r="E236" s="25">
        <f>SUM(E232:E235)</f>
        <v>144669.52</v>
      </c>
    </row>
    <row r="237" spans="1:5" ht="12.75">
      <c r="A237" s="29" t="s">
        <v>8</v>
      </c>
      <c r="B237" s="39">
        <f>C237+D237+E237</f>
        <v>91927.37</v>
      </c>
      <c r="C237" s="24"/>
      <c r="D237" s="24"/>
      <c r="E237" s="24">
        <f>21859.04+70068.33</f>
        <v>91927.37</v>
      </c>
    </row>
    <row r="238" spans="1:6" ht="12.75">
      <c r="A238" s="29" t="s">
        <v>9</v>
      </c>
      <c r="B238" s="39">
        <f>C238+D238+E238</f>
        <v>137031.32</v>
      </c>
      <c r="C238" s="24"/>
      <c r="D238" s="24"/>
      <c r="E238" s="24">
        <f>21811.6+115219.72</f>
        <v>137031.32</v>
      </c>
      <c r="F238" s="5"/>
    </row>
    <row r="239" spans="1:5" ht="12.75">
      <c r="A239" s="29" t="s">
        <v>10</v>
      </c>
      <c r="B239" s="39">
        <f>C239+D239+E239</f>
        <v>124174.71</v>
      </c>
      <c r="C239" s="24"/>
      <c r="D239" s="24"/>
      <c r="E239" s="24">
        <f>21802.97+102371.74</f>
        <v>124174.71</v>
      </c>
    </row>
    <row r="240" spans="1:5" ht="12.75">
      <c r="A240" s="30" t="s">
        <v>24</v>
      </c>
      <c r="B240" s="39">
        <f>C240+D240+E240</f>
        <v>156.42</v>
      </c>
      <c r="C240" s="24"/>
      <c r="D240" s="24"/>
      <c r="E240" s="24">
        <v>156.42</v>
      </c>
    </row>
    <row r="241" spans="1:5" ht="12.75">
      <c r="A241" s="31" t="s">
        <v>16</v>
      </c>
      <c r="B241" s="25">
        <f>SUM(B237:B240)</f>
        <v>353289.82</v>
      </c>
      <c r="C241" s="25">
        <f>SUM(C237:C240)</f>
        <v>0</v>
      </c>
      <c r="D241" s="25">
        <f>SUM(D237:D240)</f>
        <v>0</v>
      </c>
      <c r="E241" s="25">
        <f>SUM(E237:E240)</f>
        <v>353289.82</v>
      </c>
    </row>
    <row r="242" spans="1:5" ht="12.75">
      <c r="A242" s="32" t="s">
        <v>15</v>
      </c>
      <c r="B242" s="26">
        <f>B236+B241</f>
        <v>497959.33999999997</v>
      </c>
      <c r="C242" s="26">
        <f>C236+C241</f>
        <v>0</v>
      </c>
      <c r="D242" s="26">
        <f>D236+D241</f>
        <v>0</v>
      </c>
      <c r="E242" s="48"/>
    </row>
    <row r="243" spans="1:5" ht="12.75">
      <c r="A243" s="29" t="s">
        <v>3</v>
      </c>
      <c r="B243" s="39">
        <f>C243+D243+E243</f>
        <v>122020</v>
      </c>
      <c r="C243" s="24"/>
      <c r="D243" s="24"/>
      <c r="E243" s="24">
        <f>85745+36275</f>
        <v>122020</v>
      </c>
    </row>
    <row r="244" spans="1:8" ht="12.75">
      <c r="A244" s="29" t="s">
        <v>4</v>
      </c>
      <c r="B244" s="39">
        <f>C244+D244+E244</f>
        <v>148274</v>
      </c>
      <c r="C244" s="24"/>
      <c r="D244" s="24"/>
      <c r="E244" s="24">
        <v>148274</v>
      </c>
      <c r="H244" s="5"/>
    </row>
    <row r="245" spans="1:5" ht="12.75">
      <c r="A245" s="29" t="s">
        <v>11</v>
      </c>
      <c r="B245" s="39">
        <f>C245+D245+E245</f>
        <v>142306</v>
      </c>
      <c r="C245" s="24"/>
      <c r="D245" s="24"/>
      <c r="E245" s="48">
        <v>142306</v>
      </c>
    </row>
    <row r="246" spans="1:5" ht="12.75">
      <c r="A246" s="30" t="s">
        <v>24</v>
      </c>
      <c r="B246" s="39">
        <f>C246+D246+E246</f>
        <v>0</v>
      </c>
      <c r="C246" s="24"/>
      <c r="D246" s="24"/>
      <c r="E246" s="48"/>
    </row>
    <row r="247" spans="1:5" ht="12.75">
      <c r="A247" s="31" t="s">
        <v>19</v>
      </c>
      <c r="B247" s="25">
        <f>SUM(B243:B246)</f>
        <v>412600</v>
      </c>
      <c r="C247" s="25">
        <f>SUM(C243:C246)</f>
        <v>0</v>
      </c>
      <c r="D247" s="25">
        <f>SUM(D243:D246)</f>
        <v>0</v>
      </c>
      <c r="E247" s="25">
        <f>SUM(E243:E246)</f>
        <v>412600</v>
      </c>
    </row>
    <row r="248" spans="1:5" ht="12.75">
      <c r="A248" s="32" t="s">
        <v>17</v>
      </c>
      <c r="B248" s="26">
        <f>B242+B247</f>
        <v>910559.34</v>
      </c>
      <c r="C248" s="26">
        <f>C242+C247</f>
        <v>0</v>
      </c>
      <c r="D248" s="26">
        <f>D242+D247</f>
        <v>0</v>
      </c>
      <c r="E248" s="26">
        <f>E242+E247</f>
        <v>412600</v>
      </c>
    </row>
    <row r="249" spans="1:5" ht="12.75">
      <c r="A249" s="29" t="s">
        <v>0</v>
      </c>
      <c r="B249" s="24">
        <f>C249+D249+E249</f>
        <v>221285</v>
      </c>
      <c r="C249" s="24"/>
      <c r="D249" s="24"/>
      <c r="E249" s="39">
        <v>221285</v>
      </c>
    </row>
    <row r="250" spans="1:5" ht="12.75">
      <c r="A250" s="29" t="s">
        <v>1</v>
      </c>
      <c r="B250" s="24">
        <f>C250+D250+E250</f>
        <v>184838</v>
      </c>
      <c r="C250" s="24"/>
      <c r="D250" s="24"/>
      <c r="E250" s="39">
        <v>184838</v>
      </c>
    </row>
    <row r="251" spans="1:5" ht="12.75">
      <c r="A251" s="30" t="s">
        <v>24</v>
      </c>
      <c r="B251" s="24">
        <f>C251+D251+E251</f>
        <v>7798</v>
      </c>
      <c r="C251" s="24"/>
      <c r="D251" s="24"/>
      <c r="E251" s="39">
        <v>7798</v>
      </c>
    </row>
    <row r="252" spans="1:6" ht="12.75">
      <c r="A252" s="29" t="s">
        <v>2</v>
      </c>
      <c r="B252" s="24">
        <f>C252+D252+E252</f>
        <v>83009</v>
      </c>
      <c r="C252" s="24"/>
      <c r="D252" s="24"/>
      <c r="E252" s="39">
        <v>83009</v>
      </c>
      <c r="F252" s="5"/>
    </row>
    <row r="253" spans="1:5" ht="12.75">
      <c r="A253" s="30" t="s">
        <v>24</v>
      </c>
      <c r="B253" s="24">
        <f>C253+D253+E253</f>
        <v>0</v>
      </c>
      <c r="C253" s="24"/>
      <c r="D253" s="24"/>
      <c r="E253" s="39"/>
    </row>
    <row r="254" spans="1:6" ht="12.75">
      <c r="A254" s="31" t="s">
        <v>20</v>
      </c>
      <c r="B254" s="25">
        <f>SUM(B249:B253)</f>
        <v>496930</v>
      </c>
      <c r="C254" s="25">
        <f>SUM(C249:C253)</f>
        <v>0</v>
      </c>
      <c r="D254" s="25">
        <f>SUM(D249:D253)</f>
        <v>0</v>
      </c>
      <c r="E254" s="25">
        <f>SUM(E249:E253)</f>
        <v>496930</v>
      </c>
      <c r="F254" s="5"/>
    </row>
    <row r="255" spans="1:5" ht="12.75">
      <c r="A255" s="32" t="s">
        <v>18</v>
      </c>
      <c r="B255" s="26">
        <f>B247+B254</f>
        <v>909530</v>
      </c>
      <c r="C255" s="26">
        <f>C247+C254</f>
        <v>0</v>
      </c>
      <c r="D255" s="26">
        <f>D247+D254</f>
        <v>0</v>
      </c>
      <c r="E255" s="26">
        <f>E247+E254</f>
        <v>909530</v>
      </c>
    </row>
    <row r="256" spans="1:5" ht="13.5" customHeight="1">
      <c r="A256" s="29" t="s">
        <v>21</v>
      </c>
      <c r="B256" s="27">
        <f>B242+B255</f>
        <v>1407489.3399999999</v>
      </c>
      <c r="C256" s="27">
        <f>C242+C255</f>
        <v>0</v>
      </c>
      <c r="D256" s="27">
        <f>D242+D255</f>
        <v>0</v>
      </c>
      <c r="E256" s="27">
        <f>E242+E255</f>
        <v>909530</v>
      </c>
    </row>
    <row r="257" spans="4:5" ht="13.5" customHeight="1">
      <c r="D257" s="19"/>
      <c r="E257" s="17"/>
    </row>
    <row r="258" spans="4:5" ht="13.5" customHeight="1">
      <c r="D258" s="19"/>
      <c r="E258" s="17"/>
    </row>
    <row r="259" spans="4:5" ht="13.5" customHeight="1">
      <c r="D259" s="19"/>
      <c r="E259" s="17"/>
    </row>
    <row r="260" spans="4:5" ht="13.5" customHeight="1">
      <c r="D260" s="19"/>
      <c r="E260" s="17"/>
    </row>
    <row r="261" spans="1:5" ht="12.75">
      <c r="A261" s="21" t="s">
        <v>23</v>
      </c>
      <c r="B261" s="4"/>
      <c r="C261" s="41"/>
      <c r="D261" s="9"/>
      <c r="E261" s="20"/>
    </row>
    <row r="262" spans="1:6" ht="12.75">
      <c r="A262" s="28"/>
      <c r="B262" s="37"/>
      <c r="C262" s="37"/>
      <c r="D262" s="37"/>
      <c r="E262" s="37"/>
      <c r="F262" s="37"/>
    </row>
    <row r="263" spans="1:6" ht="38.25">
      <c r="A263" s="16" t="s">
        <v>13</v>
      </c>
      <c r="B263" s="45" t="s">
        <v>26</v>
      </c>
      <c r="C263" s="45" t="s">
        <v>25</v>
      </c>
      <c r="D263" s="45" t="s">
        <v>27</v>
      </c>
      <c r="E263" s="49" t="s">
        <v>28</v>
      </c>
      <c r="F263" s="50" t="s">
        <v>29</v>
      </c>
    </row>
    <row r="264" spans="1:6" ht="12.75">
      <c r="A264" s="22">
        <v>0</v>
      </c>
      <c r="B264" s="22">
        <v>3</v>
      </c>
      <c r="C264" s="22">
        <v>6</v>
      </c>
      <c r="D264" s="22">
        <v>9</v>
      </c>
      <c r="E264" s="22">
        <v>12</v>
      </c>
      <c r="F264" s="22">
        <v>12</v>
      </c>
    </row>
    <row r="265" spans="1:6" ht="12.75">
      <c r="A265" s="29" t="s">
        <v>5</v>
      </c>
      <c r="B265" s="24">
        <f>C265+D265+E265+F265</f>
        <v>7640128.859999999</v>
      </c>
      <c r="C265" s="24">
        <f>C232+C201+C168+C136+C103+C71+C38+C6</f>
        <v>5093619.279999999</v>
      </c>
      <c r="D265" s="24">
        <f>D232+D201+D168+D136+D103+D71+D38+D6</f>
        <v>981576.8299999998</v>
      </c>
      <c r="E265" s="24">
        <f>E232+E201+E168+E136+E71+E38+E6</f>
        <v>1508132.11</v>
      </c>
      <c r="F265" s="39">
        <f>E103+F6</f>
        <v>56800.64</v>
      </c>
    </row>
    <row r="266" spans="1:6" ht="12.75">
      <c r="A266" s="29" t="s">
        <v>6</v>
      </c>
      <c r="B266" s="24">
        <f>C266+D266+E266+F266</f>
        <v>7474286.49</v>
      </c>
      <c r="C266" s="24">
        <f aca="true" t="shared" si="8" ref="C266:D268">C233+C202+C169+C137+C104+C72+C39+C7</f>
        <v>4951487.97</v>
      </c>
      <c r="D266" s="24">
        <f t="shared" si="8"/>
        <v>997300.2999999999</v>
      </c>
      <c r="E266" s="24">
        <f>E233+E202+E169+E137+E72+E39+E7</f>
        <v>1470062.98</v>
      </c>
      <c r="F266" s="39">
        <f>E104+F7</f>
        <v>55435.24</v>
      </c>
    </row>
    <row r="267" spans="1:8" ht="12.75">
      <c r="A267" s="29" t="s">
        <v>7</v>
      </c>
      <c r="B267" s="24">
        <f>C267+D267+E267+F267</f>
        <v>8444612.24</v>
      </c>
      <c r="C267" s="24">
        <f t="shared" si="8"/>
        <v>5483747.21</v>
      </c>
      <c r="D267" s="24">
        <f t="shared" si="8"/>
        <v>1085486.03</v>
      </c>
      <c r="E267" s="24">
        <f>E234+E203+E170+E138+E73+E40+E8</f>
        <v>1829501.56</v>
      </c>
      <c r="F267" s="39">
        <f>E105+F8</f>
        <v>45877.44</v>
      </c>
      <c r="H267" s="5"/>
    </row>
    <row r="268" spans="1:6" ht="12.75">
      <c r="A268" s="30" t="s">
        <v>24</v>
      </c>
      <c r="B268" s="24">
        <f>C268+D268+E268+F268</f>
        <v>76231.57</v>
      </c>
      <c r="C268" s="24">
        <f t="shared" si="8"/>
        <v>70167.33</v>
      </c>
      <c r="D268" s="24">
        <f t="shared" si="8"/>
        <v>-4982.93</v>
      </c>
      <c r="E268" s="24">
        <f>E235+E204+E171+E139+E74+E41+E9</f>
        <v>13504.89</v>
      </c>
      <c r="F268" s="39">
        <f>E106+F9</f>
        <v>-2457.72</v>
      </c>
    </row>
    <row r="269" spans="1:6" ht="12.75">
      <c r="A269" s="31" t="s">
        <v>14</v>
      </c>
      <c r="B269" s="25">
        <f>SUM(B265:B268)</f>
        <v>23635259.16</v>
      </c>
      <c r="C269" s="25">
        <f>SUM(C265:C268)</f>
        <v>15599021.790000001</v>
      </c>
      <c r="D269" s="25">
        <f>SUM(D265:D268)</f>
        <v>3059380.23</v>
      </c>
      <c r="E269" s="25">
        <f>SUM(E265:E268)</f>
        <v>4821201.54</v>
      </c>
      <c r="F269" s="25">
        <f>SUM(F265:F268)</f>
        <v>155655.6</v>
      </c>
    </row>
    <row r="270" spans="1:6" ht="12.75">
      <c r="A270" s="29" t="s">
        <v>8</v>
      </c>
      <c r="B270" s="24">
        <f>C270+D270+E270+F270</f>
        <v>7386970.530000001</v>
      </c>
      <c r="C270" s="24">
        <f aca="true" t="shared" si="9" ref="C270:D273">C11+C43+C76+C108+C141+C173</f>
        <v>5045254.510000001</v>
      </c>
      <c r="D270" s="24">
        <f t="shared" si="9"/>
        <v>838236.32</v>
      </c>
      <c r="E270" s="24">
        <f>E237+E206+E173+E141+E76+E43+E11</f>
        <v>1448317.54</v>
      </c>
      <c r="F270" s="39">
        <f>E108+F11</f>
        <v>55162.16</v>
      </c>
    </row>
    <row r="271" spans="1:6" ht="12.75">
      <c r="A271" s="29" t="s">
        <v>9</v>
      </c>
      <c r="B271" s="24">
        <f>C271+D271+E271+F271</f>
        <v>8491728.479999999</v>
      </c>
      <c r="C271" s="24">
        <f t="shared" si="9"/>
        <v>5578277.04</v>
      </c>
      <c r="D271" s="24">
        <f t="shared" si="9"/>
        <v>1017551.08</v>
      </c>
      <c r="E271" s="24">
        <f>E238+E207+E174+E142+E77+E44+E12</f>
        <v>1837734.32</v>
      </c>
      <c r="F271" s="39">
        <f>E109+F12</f>
        <v>58166.04</v>
      </c>
    </row>
    <row r="272" spans="1:6" ht="12.75">
      <c r="A272" s="29" t="s">
        <v>10</v>
      </c>
      <c r="B272" s="24">
        <f>C272+D272+E272+F272</f>
        <v>7500347.88</v>
      </c>
      <c r="C272" s="24">
        <f t="shared" si="9"/>
        <v>4897195.99</v>
      </c>
      <c r="D272" s="24">
        <f t="shared" si="9"/>
        <v>899693.37</v>
      </c>
      <c r="E272" s="24">
        <f>E239+E208+E175+E143+E78+E45+E13</f>
        <v>1645292.48</v>
      </c>
      <c r="F272" s="39">
        <f>E110+F13</f>
        <v>58166.04</v>
      </c>
    </row>
    <row r="273" spans="1:6" ht="12.75">
      <c r="A273" s="30" t="s">
        <v>24</v>
      </c>
      <c r="B273" s="24">
        <f>C273+D273+E273+F273</f>
        <v>381423.14</v>
      </c>
      <c r="C273" s="24">
        <f t="shared" si="9"/>
        <v>293543.75</v>
      </c>
      <c r="D273" s="24">
        <f t="shared" si="9"/>
        <v>59997.579999999994</v>
      </c>
      <c r="E273" s="24">
        <v>27608.73</v>
      </c>
      <c r="F273" s="39">
        <f>E111+F14</f>
        <v>273.08</v>
      </c>
    </row>
    <row r="274" spans="1:6" ht="12.75">
      <c r="A274" s="31" t="s">
        <v>16</v>
      </c>
      <c r="B274" s="25">
        <f>SUM(B270:B273)</f>
        <v>23760470.03</v>
      </c>
      <c r="C274" s="25">
        <f>SUM(C270:C273)</f>
        <v>15814271.290000001</v>
      </c>
      <c r="D274" s="25">
        <f>SUM(D270:D273)</f>
        <v>2815478.35</v>
      </c>
      <c r="E274" s="25">
        <f>SUM(E270:E273)</f>
        <v>4958953.07</v>
      </c>
      <c r="F274" s="25">
        <f>SUM(F270:F273)</f>
        <v>171767.32</v>
      </c>
    </row>
    <row r="275" spans="1:6" ht="12.75">
      <c r="A275" s="32" t="s">
        <v>15</v>
      </c>
      <c r="B275" s="26">
        <f>B269+B274</f>
        <v>47395729.19</v>
      </c>
      <c r="C275" s="26">
        <f>C269+C274</f>
        <v>31413293.080000002</v>
      </c>
      <c r="D275" s="26">
        <f>D269+D274</f>
        <v>5874858.58</v>
      </c>
      <c r="E275" s="26">
        <f>E269+E274</f>
        <v>9780154.61</v>
      </c>
      <c r="F275" s="26">
        <f>F269+F274</f>
        <v>327422.92000000004</v>
      </c>
    </row>
    <row r="276" spans="1:6" ht="12.75">
      <c r="A276" s="29" t="s">
        <v>3</v>
      </c>
      <c r="B276" s="24">
        <f>C276+D276+E276+F276</f>
        <v>7922972.0200000005</v>
      </c>
      <c r="C276" s="24">
        <f aca="true" t="shared" si="10" ref="C276:D279">C17+C49+C82+C114+C147+C179</f>
        <v>5508629.45</v>
      </c>
      <c r="D276" s="24">
        <f t="shared" si="10"/>
        <v>916544.53</v>
      </c>
      <c r="E276" s="24">
        <f>E243+E212+E179+E147+E82+E49+E17</f>
        <v>1439632</v>
      </c>
      <c r="F276" s="39">
        <f>E114+F17</f>
        <v>58166.04</v>
      </c>
    </row>
    <row r="277" spans="1:6" ht="12.75">
      <c r="A277" s="29" t="s">
        <v>4</v>
      </c>
      <c r="B277" s="24">
        <f>C277+D277+E277+F277</f>
        <v>7624647.150000001</v>
      </c>
      <c r="C277" s="24">
        <f t="shared" si="10"/>
        <v>5117158.800000001</v>
      </c>
      <c r="D277" s="24">
        <f t="shared" si="10"/>
        <v>937458.31</v>
      </c>
      <c r="E277" s="24">
        <f>E244+E213+E180+E148+E83+E50+E18</f>
        <v>1511864</v>
      </c>
      <c r="F277" s="39">
        <f>E115+F18</f>
        <v>58166.04</v>
      </c>
    </row>
    <row r="278" spans="1:6" ht="12.75">
      <c r="A278" s="29" t="s">
        <v>11</v>
      </c>
      <c r="B278" s="24">
        <f>C278+D278+E278+F278</f>
        <v>7956030.2700000005</v>
      </c>
      <c r="C278" s="24">
        <f t="shared" si="10"/>
        <v>5486427.420000001</v>
      </c>
      <c r="D278" s="24">
        <f t="shared" si="10"/>
        <v>882492.33</v>
      </c>
      <c r="E278" s="24">
        <f>E245+E214+E181+E149+E84+E51+E19</f>
        <v>1520479</v>
      </c>
      <c r="F278" s="39">
        <f>E116+F19</f>
        <v>66631.52</v>
      </c>
    </row>
    <row r="279" spans="1:6" ht="12.75">
      <c r="A279" s="30" t="s">
        <v>24</v>
      </c>
      <c r="B279" s="24">
        <f>C279+D279+E279+F279</f>
        <v>293063.6000000001</v>
      </c>
      <c r="C279" s="24">
        <f t="shared" si="10"/>
        <v>285838.5800000001</v>
      </c>
      <c r="D279" s="24">
        <f t="shared" si="10"/>
        <v>258.02</v>
      </c>
      <c r="E279" s="24">
        <f>E246+E215+E182+E150+E85+E52+E20</f>
        <v>6967</v>
      </c>
      <c r="F279" s="39">
        <f>E117+F20</f>
        <v>0</v>
      </c>
    </row>
    <row r="280" spans="1:6" ht="12.75">
      <c r="A280" s="31" t="s">
        <v>19</v>
      </c>
      <c r="B280" s="25">
        <f>SUM(B276:B279)</f>
        <v>23796713.040000003</v>
      </c>
      <c r="C280" s="25">
        <f>SUM(C276:C279)</f>
        <v>16398054.250000002</v>
      </c>
      <c r="D280" s="25">
        <f>SUM(D276:D279)</f>
        <v>2736753.19</v>
      </c>
      <c r="E280" s="25">
        <f>SUM(E276:E279)</f>
        <v>4478942</v>
      </c>
      <c r="F280" s="25">
        <f>SUM(F276:F279)</f>
        <v>182963.6</v>
      </c>
    </row>
    <row r="281" spans="1:6" ht="12.75">
      <c r="A281" s="32" t="s">
        <v>17</v>
      </c>
      <c r="B281" s="26">
        <f>B275+B280</f>
        <v>71192442.23</v>
      </c>
      <c r="C281" s="26">
        <f>C275+C280</f>
        <v>47811347.330000006</v>
      </c>
      <c r="D281" s="26">
        <f>D275+D280</f>
        <v>8611611.77</v>
      </c>
      <c r="E281" s="26">
        <f>E275+E280</f>
        <v>14259096.61</v>
      </c>
      <c r="F281" s="26">
        <f>F275+F280</f>
        <v>510386.52</v>
      </c>
    </row>
    <row r="282" spans="1:6" ht="12.75">
      <c r="A282" s="29" t="s">
        <v>0</v>
      </c>
      <c r="B282" s="24">
        <f>C282+D282+E282+F282</f>
        <v>8477331.69</v>
      </c>
      <c r="C282" s="24">
        <f aca="true" t="shared" si="11" ref="C282:D286">C23+C55+C88+C120+C153+C185</f>
        <v>5738878.409999999</v>
      </c>
      <c r="D282" s="24">
        <f t="shared" si="11"/>
        <v>979798.44</v>
      </c>
      <c r="E282" s="24">
        <f>E249+E218+E185+E153+E88+E55+E23</f>
        <v>1690931</v>
      </c>
      <c r="F282" s="39">
        <f>E120+F23</f>
        <v>67723.84</v>
      </c>
    </row>
    <row r="283" spans="1:7" ht="12.75">
      <c r="A283" s="29" t="s">
        <v>1</v>
      </c>
      <c r="B283" s="24">
        <f>C283+D283+E283+F283</f>
        <v>8378895.34</v>
      </c>
      <c r="C283" s="24">
        <f t="shared" si="11"/>
        <v>5726725.54</v>
      </c>
      <c r="D283" s="24">
        <f t="shared" si="11"/>
        <v>1060519.88</v>
      </c>
      <c r="E283" s="24">
        <f>E250+E219+E186+E154+E89+E56+E24</f>
        <v>1530480</v>
      </c>
      <c r="F283" s="39">
        <f>E121+F24</f>
        <v>61169.92</v>
      </c>
      <c r="G283" s="6"/>
    </row>
    <row r="284" spans="1:6" ht="12.75">
      <c r="A284" s="30" t="s">
        <v>24</v>
      </c>
      <c r="B284" s="24">
        <f>C284+D284+E284+F284</f>
        <v>300595.35000000003</v>
      </c>
      <c r="C284" s="24">
        <f t="shared" si="11"/>
        <v>136942.23</v>
      </c>
      <c r="D284" s="24">
        <f t="shared" si="11"/>
        <v>76266.04000000001</v>
      </c>
      <c r="E284" s="24">
        <f>E251+E220+E187+E155+E90+E57+E25</f>
        <v>87114</v>
      </c>
      <c r="F284" s="39">
        <f>E122+F25</f>
        <v>273.08</v>
      </c>
    </row>
    <row r="285" spans="1:6" ht="12.75">
      <c r="A285" s="29" t="s">
        <v>2</v>
      </c>
      <c r="B285" s="24">
        <f>C285+D285+E285+F285</f>
        <v>7200904.399999999</v>
      </c>
      <c r="C285" s="24">
        <f t="shared" si="11"/>
        <v>5241438.7299999995</v>
      </c>
      <c r="D285" s="24">
        <f t="shared" si="11"/>
        <v>928097.75</v>
      </c>
      <c r="E285" s="24">
        <f>E252+E221+E188+E156+E91+E58+E26</f>
        <v>970198</v>
      </c>
      <c r="F285" s="39">
        <f>E123+F26</f>
        <v>61169.92</v>
      </c>
    </row>
    <row r="286" spans="1:6" ht="12.75">
      <c r="A286" s="30" t="s">
        <v>24</v>
      </c>
      <c r="B286" s="24">
        <f>C286+D286+E286+F286</f>
        <v>0</v>
      </c>
      <c r="C286" s="24">
        <f t="shared" si="11"/>
        <v>0</v>
      </c>
      <c r="D286" s="24">
        <f t="shared" si="11"/>
        <v>0</v>
      </c>
      <c r="E286" s="24">
        <f>E253+E222+E189+E157+E92+E59+E27</f>
        <v>0</v>
      </c>
      <c r="F286" s="39">
        <f>E124+F27</f>
        <v>0</v>
      </c>
    </row>
    <row r="287" spans="1:6" ht="12.75">
      <c r="A287" s="31" t="s">
        <v>20</v>
      </c>
      <c r="B287" s="25">
        <f>SUM(B282:B286)</f>
        <v>24357726.78</v>
      </c>
      <c r="C287" s="25">
        <f>SUM(C282:C286)</f>
        <v>16843984.91</v>
      </c>
      <c r="D287" s="25">
        <f>SUM(D282:D286)</f>
        <v>3044682.11</v>
      </c>
      <c r="E287" s="25">
        <f>SUM(E282:E286)</f>
        <v>4278723</v>
      </c>
      <c r="F287" s="25">
        <f>SUM(F282:F286)</f>
        <v>190336.76</v>
      </c>
    </row>
    <row r="288" spans="1:6" ht="12.75">
      <c r="A288" s="32" t="s">
        <v>18</v>
      </c>
      <c r="B288" s="26">
        <f>B280+B287</f>
        <v>48154439.82000001</v>
      </c>
      <c r="C288" s="26">
        <f>C280+C287</f>
        <v>33242039.160000004</v>
      </c>
      <c r="D288" s="26">
        <f>D280+D287</f>
        <v>5781435.3</v>
      </c>
      <c r="E288" s="26">
        <f>E280+E287</f>
        <v>8757665</v>
      </c>
      <c r="F288" s="26">
        <f>F280+F287</f>
        <v>373300.36</v>
      </c>
    </row>
    <row r="289" spans="1:6" ht="12.75">
      <c r="A289" s="29" t="s">
        <v>21</v>
      </c>
      <c r="B289" s="27">
        <f>B275+B288</f>
        <v>95550169.01</v>
      </c>
      <c r="C289" s="27">
        <f>C275+C288</f>
        <v>64655332.24000001</v>
      </c>
      <c r="D289" s="27">
        <f>D275+D288</f>
        <v>11656293.879999999</v>
      </c>
      <c r="E289" s="27">
        <f>E275+E288</f>
        <v>18537819.61</v>
      </c>
      <c r="F289" s="27">
        <f>F275+F288</f>
        <v>700723.28</v>
      </c>
    </row>
    <row r="290" spans="1:6" ht="8.25" customHeight="1">
      <c r="A290" s="16"/>
      <c r="B290" s="11"/>
      <c r="C290" s="20"/>
      <c r="D290" s="11"/>
      <c r="E290" s="20"/>
      <c r="F290" s="11"/>
    </row>
    <row r="291" spans="1:5" ht="12.75" customHeight="1">
      <c r="A291" s="21"/>
      <c r="B291" s="5"/>
      <c r="E291" s="40"/>
    </row>
    <row r="292" spans="1:5" ht="12.75" customHeight="1">
      <c r="A292" s="21"/>
      <c r="B292" s="5"/>
      <c r="E292" s="40"/>
    </row>
    <row r="294" ht="12.75">
      <c r="B294" s="5"/>
    </row>
    <row r="296" ht="12.75">
      <c r="B296" s="5"/>
    </row>
    <row r="298" ht="12.75">
      <c r="B298" s="5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dd</cp:lastModifiedBy>
  <cp:lastPrinted>2023-09-13T11:59:29Z</cp:lastPrinted>
  <dcterms:created xsi:type="dcterms:W3CDTF">2004-03-25T07:10:58Z</dcterms:created>
  <dcterms:modified xsi:type="dcterms:W3CDTF">2024-01-16T13:49:27Z</dcterms:modified>
  <cp:category/>
  <cp:version/>
  <cp:contentType/>
  <cp:contentStatus/>
</cp:coreProperties>
</file>